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1. 19 พ.ค. 66\"/>
    </mc:Choice>
  </mc:AlternateContent>
  <xr:revisionPtr revIDLastSave="0" documentId="13_ncr:1_{1FDA51C3-DAAA-4E49-9801-8CD5A732C3F6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824" i="5" l="1"/>
  <c r="I823" i="5"/>
  <c r="I255" i="5"/>
  <c r="I255" i="6"/>
  <c r="I255" i="7"/>
  <c r="I255" i="8"/>
  <c r="I255" i="9"/>
  <c r="I255" i="10"/>
  <c r="I255" i="12"/>
  <c r="I255" i="13"/>
  <c r="I255" i="14"/>
  <c r="K255" i="14" s="1"/>
  <c r="I255" i="15"/>
  <c r="I248" i="15" s="1"/>
  <c r="I255" i="16"/>
  <c r="K255" i="16" s="1"/>
  <c r="I255" i="17"/>
  <c r="I248" i="17" s="1"/>
  <c r="K248" i="17" s="1"/>
  <c r="I255" i="19"/>
  <c r="I248" i="19" s="1"/>
  <c r="K248" i="19" s="1"/>
  <c r="I824" i="20"/>
  <c r="I823" i="20"/>
  <c r="I255" i="20"/>
  <c r="I255" i="21"/>
  <c r="K255" i="21" s="1"/>
  <c r="I255" i="22"/>
  <c r="K255" i="22" s="1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8" i="22" s="1"/>
  <c r="P809" i="22"/>
  <c r="O809" i="22"/>
  <c r="P808" i="22"/>
  <c r="O808" i="22"/>
  <c r="M808" i="22"/>
  <c r="L808" i="22"/>
  <c r="P807" i="22"/>
  <c r="O807" i="22"/>
  <c r="N807" i="22"/>
  <c r="M807" i="22"/>
  <c r="L807" i="22"/>
  <c r="O806" i="22"/>
  <c r="N806" i="22"/>
  <c r="M806" i="22"/>
  <c r="P806" i="22" s="1"/>
  <c r="L806" i="22"/>
  <c r="N805" i="22"/>
  <c r="L805" i="22"/>
  <c r="O805" i="22" s="1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P796" i="22"/>
  <c r="N796" i="22"/>
  <c r="M796" i="22"/>
  <c r="L796" i="22"/>
  <c r="O796" i="22" s="1"/>
  <c r="P791" i="22"/>
  <c r="N791" i="22"/>
  <c r="L791" i="22"/>
  <c r="L789" i="22" s="1"/>
  <c r="O789" i="22" s="1"/>
  <c r="P790" i="22"/>
  <c r="O790" i="22"/>
  <c r="P789" i="22"/>
  <c r="N789" i="22"/>
  <c r="M789" i="22"/>
  <c r="P788" i="22"/>
  <c r="N788" i="22"/>
  <c r="M788" i="22"/>
  <c r="O787" i="22"/>
  <c r="N787" i="22"/>
  <c r="M787" i="22"/>
  <c r="P787" i="22" s="1"/>
  <c r="L787" i="22"/>
  <c r="N786" i="22"/>
  <c r="P782" i="22"/>
  <c r="O782" i="22"/>
  <c r="P781" i="22"/>
  <c r="O781" i="22"/>
  <c r="N780" i="22"/>
  <c r="M780" i="22"/>
  <c r="P780" i="22" s="1"/>
  <c r="L780" i="22"/>
  <c r="O780" i="22" s="1"/>
  <c r="P775" i="22"/>
  <c r="O775" i="22"/>
  <c r="N775" i="22"/>
  <c r="P774" i="22"/>
  <c r="O774" i="22"/>
  <c r="P773" i="22"/>
  <c r="N773" i="22"/>
  <c r="M773" i="22"/>
  <c r="L773" i="22"/>
  <c r="O773" i="22" s="1"/>
  <c r="P772" i="22"/>
  <c r="O772" i="22"/>
  <c r="N772" i="22"/>
  <c r="M772" i="22"/>
  <c r="L772" i="22"/>
  <c r="P771" i="22"/>
  <c r="O771" i="22"/>
  <c r="N771" i="22"/>
  <c r="N770" i="22" s="1"/>
  <c r="M771" i="22"/>
  <c r="L771" i="22"/>
  <c r="L770" i="22" s="1"/>
  <c r="O770" i="22" s="1"/>
  <c r="M770" i="22"/>
  <c r="P770" i="22" s="1"/>
  <c r="K769" i="22"/>
  <c r="J769" i="22"/>
  <c r="P766" i="22"/>
  <c r="O766" i="22"/>
  <c r="P765" i="22"/>
  <c r="O765" i="22"/>
  <c r="N764" i="22"/>
  <c r="M764" i="22"/>
  <c r="P764" i="22" s="1"/>
  <c r="L764" i="22"/>
  <c r="O764" i="22" s="1"/>
  <c r="P759" i="22"/>
  <c r="O759" i="22"/>
  <c r="N759" i="22"/>
  <c r="N756" i="22" s="1"/>
  <c r="P758" i="22"/>
  <c r="O758" i="22"/>
  <c r="P757" i="22"/>
  <c r="N757" i="22"/>
  <c r="M757" i="22"/>
  <c r="L757" i="22"/>
  <c r="O757" i="22" s="1"/>
  <c r="P756" i="22"/>
  <c r="O756" i="22"/>
  <c r="M756" i="22"/>
  <c r="L756" i="22"/>
  <c r="P755" i="22"/>
  <c r="O755" i="22"/>
  <c r="N755" i="22"/>
  <c r="N754" i="22" s="1"/>
  <c r="M755" i="22"/>
  <c r="L755" i="22"/>
  <c r="L754" i="22" s="1"/>
  <c r="O754" i="22" s="1"/>
  <c r="M754" i="22"/>
  <c r="P754" i="22" s="1"/>
  <c r="K753" i="22"/>
  <c r="J753" i="22"/>
  <c r="P749" i="22"/>
  <c r="O749" i="22"/>
  <c r="P748" i="22"/>
  <c r="O748" i="22"/>
  <c r="N747" i="22"/>
  <c r="M747" i="22"/>
  <c r="P747" i="22" s="1"/>
  <c r="L747" i="22"/>
  <c r="O747" i="22" s="1"/>
  <c r="P742" i="22"/>
  <c r="O742" i="22"/>
  <c r="N742" i="22"/>
  <c r="N739" i="22" s="1"/>
  <c r="P741" i="22"/>
  <c r="O741" i="22"/>
  <c r="P740" i="22"/>
  <c r="N740" i="22"/>
  <c r="M740" i="22"/>
  <c r="L740" i="22"/>
  <c r="O740" i="22" s="1"/>
  <c r="P739" i="22"/>
  <c r="O739" i="22"/>
  <c r="M739" i="22"/>
  <c r="L739" i="22"/>
  <c r="P738" i="22"/>
  <c r="O738" i="22"/>
  <c r="N738" i="22"/>
  <c r="M738" i="22"/>
  <c r="L738" i="22"/>
  <c r="L737" i="22" s="1"/>
  <c r="O737" i="22" s="1"/>
  <c r="M737" i="22"/>
  <c r="P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N695" i="22"/>
  <c r="M695" i="22"/>
  <c r="P695" i="22" s="1"/>
  <c r="L695" i="22"/>
  <c r="O695" i="22" s="1"/>
  <c r="N690" i="22"/>
  <c r="N687" i="22" s="1"/>
  <c r="L690" i="22"/>
  <c r="O690" i="22" s="1"/>
  <c r="N688" i="22"/>
  <c r="P686" i="22"/>
  <c r="O686" i="22"/>
  <c r="N686" i="22"/>
  <c r="N685" i="22" s="1"/>
  <c r="M686" i="22"/>
  <c r="L686" i="22"/>
  <c r="J679" i="22"/>
  <c r="J678" i="22"/>
  <c r="I678" i="22"/>
  <c r="K678" i="22" s="1"/>
  <c r="J675" i="22"/>
  <c r="I671" i="22"/>
  <c r="K671" i="22" s="1"/>
  <c r="I670" i="22"/>
  <c r="K670" i="22" s="1"/>
  <c r="J669" i="22"/>
  <c r="J654" i="22" s="1"/>
  <c r="I669" i="22"/>
  <c r="K674" i="22" s="1"/>
  <c r="P667" i="22"/>
  <c r="O667" i="22"/>
  <c r="P666" i="22"/>
  <c r="O666" i="22"/>
  <c r="P665" i="22"/>
  <c r="O665" i="22"/>
  <c r="N665" i="22"/>
  <c r="M665" i="22"/>
  <c r="L665" i="22"/>
  <c r="N660" i="22"/>
  <c r="L660" i="22"/>
  <c r="O660" i="22" s="1"/>
  <c r="P659" i="22"/>
  <c r="O659" i="22"/>
  <c r="N658" i="22"/>
  <c r="N657" i="22"/>
  <c r="N656" i="22"/>
  <c r="N655" i="22" s="1"/>
  <c r="M656" i="22"/>
  <c r="P656" i="22" s="1"/>
  <c r="L656" i="22"/>
  <c r="O656" i="22" s="1"/>
  <c r="K652" i="22"/>
  <c r="J652" i="22"/>
  <c r="J651" i="22"/>
  <c r="J628" i="22" s="1"/>
  <c r="I651" i="22"/>
  <c r="I628" i="22" s="1"/>
  <c r="K628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N639" i="22"/>
  <c r="M639" i="22"/>
  <c r="P639" i="22" s="1"/>
  <c r="P634" i="22"/>
  <c r="N634" i="22"/>
  <c r="N631" i="22" s="1"/>
  <c r="L634" i="22"/>
  <c r="O634" i="22" s="1"/>
  <c r="P633" i="22"/>
  <c r="O633" i="22"/>
  <c r="P632" i="22"/>
  <c r="N632" i="22"/>
  <c r="M632" i="22"/>
  <c r="L632" i="22"/>
  <c r="O632" i="22" s="1"/>
  <c r="P631" i="22"/>
  <c r="M631" i="22"/>
  <c r="P630" i="22"/>
  <c r="O630" i="22"/>
  <c r="N630" i="22"/>
  <c r="N629" i="22" s="1"/>
  <c r="M630" i="22"/>
  <c r="L630" i="22"/>
  <c r="M629" i="22"/>
  <c r="P629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4" i="22"/>
  <c r="I594" i="22"/>
  <c r="K594" i="22" s="1"/>
  <c r="I593" i="22"/>
  <c r="I592" i="22" s="1"/>
  <c r="J583" i="22"/>
  <c r="J577" i="22" s="1"/>
  <c r="J582" i="22"/>
  <c r="I577" i="22"/>
  <c r="K577" i="22" s="1"/>
  <c r="J576" i="22"/>
  <c r="J559" i="22" s="1"/>
  <c r="J543" i="22" s="1"/>
  <c r="I576" i="22"/>
  <c r="I559" i="22" s="1"/>
  <c r="K559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L555" i="22" s="1"/>
  <c r="O555" i="22" s="1"/>
  <c r="P556" i="22"/>
  <c r="O556" i="22"/>
  <c r="P555" i="22"/>
  <c r="N555" i="22"/>
  <c r="M555" i="22"/>
  <c r="N549" i="22"/>
  <c r="L549" i="22"/>
  <c r="O549" i="22" s="1"/>
  <c r="P548" i="22"/>
  <c r="O548" i="22"/>
  <c r="N547" i="22"/>
  <c r="N546" i="22"/>
  <c r="N545" i="22"/>
  <c r="N544" i="22" s="1"/>
  <c r="M545" i="22"/>
  <c r="P545" i="22" s="1"/>
  <c r="L545" i="22"/>
  <c r="O545" i="22" s="1"/>
  <c r="I542" i="22"/>
  <c r="K542" i="22" s="1"/>
  <c r="I541" i="22"/>
  <c r="K541" i="22" s="1"/>
  <c r="I540" i="22"/>
  <c r="K540" i="22" s="1"/>
  <c r="I539" i="22"/>
  <c r="K539" i="22" s="1"/>
  <c r="I538" i="22"/>
  <c r="I537" i="22"/>
  <c r="I522" i="22" s="1"/>
  <c r="K522" i="22" s="1"/>
  <c r="P535" i="22"/>
  <c r="L535" i="22"/>
  <c r="O535" i="22" s="1"/>
  <c r="P534" i="22"/>
  <c r="O534" i="22"/>
  <c r="N533" i="22"/>
  <c r="M533" i="22"/>
  <c r="P533" i="22" s="1"/>
  <c r="P528" i="22"/>
  <c r="N528" i="22"/>
  <c r="N525" i="22" s="1"/>
  <c r="L528" i="22"/>
  <c r="O528" i="22" s="1"/>
  <c r="P527" i="22"/>
  <c r="O527" i="22"/>
  <c r="M526" i="22"/>
  <c r="P526" i="22" s="1"/>
  <c r="M525" i="22"/>
  <c r="P524" i="22"/>
  <c r="N524" i="22"/>
  <c r="N523" i="22" s="1"/>
  <c r="M524" i="22"/>
  <c r="L524" i="22"/>
  <c r="K517" i="22"/>
  <c r="J517" i="22"/>
  <c r="J501" i="22" s="1"/>
  <c r="K516" i="22"/>
  <c r="P514" i="22"/>
  <c r="O514" i="22"/>
  <c r="P513" i="22"/>
  <c r="O513" i="22"/>
  <c r="N512" i="22"/>
  <c r="M512" i="22"/>
  <c r="P512" i="22" s="1"/>
  <c r="L512" i="22"/>
  <c r="O512" i="22" s="1"/>
  <c r="P507" i="22"/>
  <c r="O507" i="22"/>
  <c r="N507" i="22"/>
  <c r="P506" i="22"/>
  <c r="O506" i="22"/>
  <c r="P505" i="22"/>
  <c r="N505" i="22"/>
  <c r="M505" i="22"/>
  <c r="L505" i="22"/>
  <c r="O505" i="22" s="1"/>
  <c r="P504" i="22"/>
  <c r="O504" i="22"/>
  <c r="N504" i="22"/>
  <c r="M504" i="22"/>
  <c r="L504" i="22"/>
  <c r="P503" i="22"/>
  <c r="O503" i="22"/>
  <c r="N503" i="22"/>
  <c r="N502" i="22" s="1"/>
  <c r="M503" i="22"/>
  <c r="L503" i="22"/>
  <c r="L502" i="22" s="1"/>
  <c r="O502" i="22"/>
  <c r="M502" i="22"/>
  <c r="P502" i="22" s="1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L477" i="22" s="1"/>
  <c r="O477" i="22" s="1"/>
  <c r="P478" i="22"/>
  <c r="O478" i="22"/>
  <c r="N477" i="22"/>
  <c r="M477" i="22"/>
  <c r="P477" i="22" s="1"/>
  <c r="P472" i="22"/>
  <c r="N472" i="22"/>
  <c r="N469" i="22" s="1"/>
  <c r="L472" i="22"/>
  <c r="O472" i="22" s="1"/>
  <c r="P471" i="22"/>
  <c r="O471" i="22"/>
  <c r="P470" i="22"/>
  <c r="N470" i="22"/>
  <c r="M470" i="22"/>
  <c r="P469" i="22"/>
  <c r="M469" i="22"/>
  <c r="P468" i="22"/>
  <c r="O468" i="22"/>
  <c r="N468" i="22"/>
  <c r="N467" i="22" s="1"/>
  <c r="M468" i="22"/>
  <c r="L468" i="22"/>
  <c r="M467" i="22"/>
  <c r="P467" i="22" s="1"/>
  <c r="J466" i="22"/>
  <c r="I466" i="22"/>
  <c r="K466" i="22" s="1"/>
  <c r="J465" i="22"/>
  <c r="I465" i="22"/>
  <c r="K465" i="22" s="1"/>
  <c r="I464" i="22"/>
  <c r="I463" i="22"/>
  <c r="I462" i="22"/>
  <c r="I443" i="22" s="1"/>
  <c r="K443" i="22" s="1"/>
  <c r="I460" i="22"/>
  <c r="K460" i="22" s="1"/>
  <c r="K458" i="22"/>
  <c r="P456" i="22"/>
  <c r="L456" i="22"/>
  <c r="P455" i="22"/>
  <c r="O455" i="22"/>
  <c r="N454" i="22"/>
  <c r="M454" i="22"/>
  <c r="P454" i="22" s="1"/>
  <c r="N453" i="22"/>
  <c r="N450" i="22"/>
  <c r="N449" i="22"/>
  <c r="L449" i="22"/>
  <c r="L447" i="22" s="1"/>
  <c r="P448" i="22"/>
  <c r="O448" i="22"/>
  <c r="N447" i="22"/>
  <c r="N446" i="22"/>
  <c r="N445" i="22"/>
  <c r="M445" i="22"/>
  <c r="P445" i="22" s="1"/>
  <c r="L445" i="22"/>
  <c r="O445" i="22" s="1"/>
  <c r="J443" i="22"/>
  <c r="J442" i="22"/>
  <c r="I441" i="22"/>
  <c r="K441" i="22" s="1"/>
  <c r="I440" i="22"/>
  <c r="I439" i="22"/>
  <c r="K439" i="22" s="1"/>
  <c r="I438" i="22"/>
  <c r="K438" i="22" s="1"/>
  <c r="I437" i="22"/>
  <c r="K437" i="22" s="1"/>
  <c r="I435" i="22"/>
  <c r="I433" i="22" s="1"/>
  <c r="J434" i="22"/>
  <c r="P431" i="22"/>
  <c r="L431" i="22"/>
  <c r="L429" i="22" s="1"/>
  <c r="O429" i="22" s="1"/>
  <c r="P430" i="22"/>
  <c r="O430" i="22"/>
  <c r="P429" i="22"/>
  <c r="N429" i="22"/>
  <c r="M429" i="22"/>
  <c r="N428" i="22"/>
  <c r="N425" i="22"/>
  <c r="L424" i="22"/>
  <c r="L422" i="22" s="1"/>
  <c r="P423" i="22"/>
  <c r="O423" i="22"/>
  <c r="P420" i="22"/>
  <c r="O420" i="22"/>
  <c r="N420" i="22"/>
  <c r="M420" i="22"/>
  <c r="L420" i="22"/>
  <c r="J418" i="22"/>
  <c r="K413" i="22"/>
  <c r="K412" i="22"/>
  <c r="N410" i="22"/>
  <c r="N408" i="22" s="1"/>
  <c r="M410" i="22"/>
  <c r="P410" i="22" s="1"/>
  <c r="L410" i="22"/>
  <c r="L408" i="22" s="1"/>
  <c r="O408" i="22" s="1"/>
  <c r="P409" i="22"/>
  <c r="O409" i="22"/>
  <c r="N407" i="22"/>
  <c r="N405" i="22" s="1"/>
  <c r="M407" i="22"/>
  <c r="P407" i="22" s="1"/>
  <c r="L407" i="22"/>
  <c r="L405" i="22" s="1"/>
  <c r="O405" i="22" s="1"/>
  <c r="P406" i="22"/>
  <c r="O406" i="22"/>
  <c r="O403" i="22"/>
  <c r="N403" i="22"/>
  <c r="M403" i="22"/>
  <c r="P403" i="22" s="1"/>
  <c r="L403" i="22"/>
  <c r="J401" i="22"/>
  <c r="I401" i="22"/>
  <c r="K401" i="22" s="1"/>
  <c r="K400" i="22"/>
  <c r="K399" i="22"/>
  <c r="N397" i="22"/>
  <c r="N395" i="22" s="1"/>
  <c r="M397" i="22"/>
  <c r="L397" i="22"/>
  <c r="O397" i="22" s="1"/>
  <c r="P396" i="22"/>
  <c r="O396" i="22"/>
  <c r="N394" i="22"/>
  <c r="N392" i="22" s="1"/>
  <c r="M394" i="22"/>
  <c r="P394" i="22" s="1"/>
  <c r="L394" i="22"/>
  <c r="O394" i="22" s="1"/>
  <c r="P393" i="22"/>
  <c r="O393" i="22"/>
  <c r="O390" i="22"/>
  <c r="N390" i="22"/>
  <c r="M390" i="22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5" i="22" s="1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M351" i="22" s="1"/>
  <c r="L353" i="22"/>
  <c r="L351" i="22" s="1"/>
  <c r="P352" i="22"/>
  <c r="O352" i="22"/>
  <c r="N350" i="22"/>
  <c r="N348" i="22" s="1"/>
  <c r="M350" i="22"/>
  <c r="L350" i="22"/>
  <c r="P349" i="22"/>
  <c r="O349" i="22"/>
  <c r="P346" i="22"/>
  <c r="O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L336" i="22"/>
  <c r="O336" i="22" s="1"/>
  <c r="P335" i="22"/>
  <c r="O335" i="22"/>
  <c r="N333" i="22"/>
  <c r="N331" i="22" s="1"/>
  <c r="M333" i="22"/>
  <c r="M331" i="22" s="1"/>
  <c r="L333" i="22"/>
  <c r="L331" i="22" s="1"/>
  <c r="P332" i="22"/>
  <c r="O332" i="22"/>
  <c r="O329" i="22"/>
  <c r="N329" i="22"/>
  <c r="M329" i="22"/>
  <c r="L329" i="22"/>
  <c r="I327" i="22"/>
  <c r="I325" i="22"/>
  <c r="I314" i="22" s="1"/>
  <c r="K314" i="22" s="1"/>
  <c r="N323" i="22"/>
  <c r="N321" i="22" s="1"/>
  <c r="M323" i="22"/>
  <c r="P323" i="22" s="1"/>
  <c r="L323" i="22"/>
  <c r="P322" i="22"/>
  <c r="O322" i="22"/>
  <c r="N320" i="22"/>
  <c r="N318" i="22" s="1"/>
  <c r="M320" i="22"/>
  <c r="P320" i="22" s="1"/>
  <c r="L320" i="22"/>
  <c r="P319" i="22"/>
  <c r="O319" i="22"/>
  <c r="O316" i="22"/>
  <c r="N316" i="22"/>
  <c r="M316" i="22"/>
  <c r="L316" i="22"/>
  <c r="J314" i="22"/>
  <c r="I312" i="22"/>
  <c r="K312" i="22" s="1"/>
  <c r="I311" i="22"/>
  <c r="K311" i="22" s="1"/>
  <c r="I310" i="22"/>
  <c r="K310" i="22" s="1"/>
  <c r="I309" i="22"/>
  <c r="I297" i="22" s="1"/>
  <c r="K297" i="22" s="1"/>
  <c r="N306" i="22"/>
  <c r="N304" i="22" s="1"/>
  <c r="M306" i="22"/>
  <c r="P306" i="22" s="1"/>
  <c r="L306" i="22"/>
  <c r="L304" i="22" s="1"/>
  <c r="O304" i="22" s="1"/>
  <c r="P305" i="22"/>
  <c r="O305" i="22"/>
  <c r="N303" i="22"/>
  <c r="N301" i="22" s="1"/>
  <c r="M303" i="22"/>
  <c r="M301" i="22" s="1"/>
  <c r="P301" i="22" s="1"/>
  <c r="L303" i="22"/>
  <c r="O303" i="22" s="1"/>
  <c r="P302" i="22"/>
  <c r="O302" i="22"/>
  <c r="O299" i="22"/>
  <c r="N299" i="22"/>
  <c r="M299" i="22"/>
  <c r="P299" i="22" s="1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K287" i="22" s="1"/>
  <c r="N285" i="22"/>
  <c r="N283" i="22" s="1"/>
  <c r="M285" i="22"/>
  <c r="M283" i="22" s="1"/>
  <c r="P283" i="22" s="1"/>
  <c r="L285" i="22"/>
  <c r="L283" i="22" s="1"/>
  <c r="O283" i="22" s="1"/>
  <c r="P284" i="22"/>
  <c r="O284" i="22"/>
  <c r="N282" i="22"/>
  <c r="N280" i="22" s="1"/>
  <c r="M282" i="22"/>
  <c r="P282" i="22" s="1"/>
  <c r="L282" i="22"/>
  <c r="O282" i="22" s="1"/>
  <c r="P281" i="22"/>
  <c r="O281" i="22"/>
  <c r="O278" i="22"/>
  <c r="N278" i="22"/>
  <c r="M278" i="22"/>
  <c r="P278" i="22" s="1"/>
  <c r="L278" i="22"/>
  <c r="J276" i="22"/>
  <c r="I271" i="22"/>
  <c r="K271" i="22" s="1"/>
  <c r="N269" i="22"/>
  <c r="N267" i="22" s="1"/>
  <c r="M269" i="22"/>
  <c r="P269" i="22" s="1"/>
  <c r="L269" i="22"/>
  <c r="O269" i="22" s="1"/>
  <c r="P268" i="22"/>
  <c r="O268" i="22"/>
  <c r="N266" i="22"/>
  <c r="N264" i="22" s="1"/>
  <c r="M266" i="22"/>
  <c r="L266" i="22"/>
  <c r="P265" i="22"/>
  <c r="O265" i="22"/>
  <c r="N262" i="22"/>
  <c r="M262" i="22"/>
  <c r="P262" i="22" s="1"/>
  <c r="L262" i="22"/>
  <c r="O262" i="22" s="1"/>
  <c r="J260" i="22"/>
  <c r="K258" i="22"/>
  <c r="K257" i="22"/>
  <c r="L253" i="22"/>
  <c r="L252" i="22"/>
  <c r="L251" i="22"/>
  <c r="L250" i="22"/>
  <c r="P249" i="22"/>
  <c r="N249" i="22"/>
  <c r="J248" i="22"/>
  <c r="K247" i="22"/>
  <c r="K246" i="22"/>
  <c r="I244" i="22"/>
  <c r="K244" i="22" s="1"/>
  <c r="L242" i="22"/>
  <c r="L241" i="22"/>
  <c r="L240" i="22"/>
  <c r="L239" i="22"/>
  <c r="P238" i="22"/>
  <c r="N238" i="22"/>
  <c r="J237" i="22"/>
  <c r="J226" i="22" s="1"/>
  <c r="J180" i="22" s="1"/>
  <c r="J236" i="22"/>
  <c r="I236" i="22"/>
  <c r="K236" i="22" s="1"/>
  <c r="J235" i="22"/>
  <c r="I235" i="22"/>
  <c r="K235" i="22" s="1"/>
  <c r="J233" i="22"/>
  <c r="N231" i="22"/>
  <c r="N230" i="22"/>
  <c r="N229" i="22"/>
  <c r="N228" i="22"/>
  <c r="I225" i="22"/>
  <c r="K225" i="22" s="1"/>
  <c r="I224" i="22"/>
  <c r="K224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K204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P189" i="22" s="1"/>
  <c r="L189" i="22"/>
  <c r="P188" i="22"/>
  <c r="O188" i="22"/>
  <c r="N186" i="22"/>
  <c r="N184" i="22" s="1"/>
  <c r="M186" i="22"/>
  <c r="M184" i="22" s="1"/>
  <c r="L186" i="22"/>
  <c r="L184" i="22" s="1"/>
  <c r="P185" i="22"/>
  <c r="O185" i="22"/>
  <c r="P182" i="22"/>
  <c r="O182" i="22"/>
  <c r="N182" i="22"/>
  <c r="M182" i="22"/>
  <c r="L182" i="22"/>
  <c r="J177" i="22"/>
  <c r="J164" i="22" s="1"/>
  <c r="I176" i="22"/>
  <c r="I174" i="22" s="1"/>
  <c r="J174" i="22"/>
  <c r="N173" i="22"/>
  <c r="N171" i="22" s="1"/>
  <c r="M173" i="22"/>
  <c r="L173" i="22"/>
  <c r="O173" i="22" s="1"/>
  <c r="P172" i="22"/>
  <c r="O172" i="22"/>
  <c r="N170" i="22"/>
  <c r="N168" i="22" s="1"/>
  <c r="M170" i="22"/>
  <c r="P170" i="22" s="1"/>
  <c r="L170" i="22"/>
  <c r="O170" i="22" s="1"/>
  <c r="P169" i="22"/>
  <c r="O169" i="22"/>
  <c r="P166" i="22"/>
  <c r="O166" i="22"/>
  <c r="N166" i="22"/>
  <c r="M166" i="22"/>
  <c r="L166" i="22"/>
  <c r="I159" i="22"/>
  <c r="I148" i="22" s="1"/>
  <c r="K148" i="22" s="1"/>
  <c r="N157" i="22"/>
  <c r="N155" i="22" s="1"/>
  <c r="M157" i="22"/>
  <c r="P157" i="22" s="1"/>
  <c r="L157" i="22"/>
  <c r="O157" i="22" s="1"/>
  <c r="P156" i="22"/>
  <c r="O156" i="22"/>
  <c r="N154" i="22"/>
  <c r="M154" i="22"/>
  <c r="P154" i="22" s="1"/>
  <c r="L154" i="22"/>
  <c r="O154" i="22" s="1"/>
  <c r="P153" i="22"/>
  <c r="O153" i="22"/>
  <c r="P150" i="22"/>
  <c r="N150" i="22"/>
  <c r="M150" i="22"/>
  <c r="L150" i="22"/>
  <c r="O150" i="22" s="1"/>
  <c r="J148" i="22"/>
  <c r="I146" i="22"/>
  <c r="K146" i="22" s="1"/>
  <c r="I145" i="22"/>
  <c r="I143" i="22" s="1"/>
  <c r="I144" i="22"/>
  <c r="K144" i="22" s="1"/>
  <c r="N140" i="22"/>
  <c r="N138" i="22" s="1"/>
  <c r="M140" i="22"/>
  <c r="P140" i="22" s="1"/>
  <c r="L140" i="22"/>
  <c r="O140" i="22" s="1"/>
  <c r="P139" i="22"/>
  <c r="O139" i="22"/>
  <c r="N137" i="22"/>
  <c r="N135" i="22" s="1"/>
  <c r="M137" i="22"/>
  <c r="L137" i="22"/>
  <c r="O137" i="22" s="1"/>
  <c r="P136" i="22"/>
  <c r="O136" i="22"/>
  <c r="O133" i="22"/>
  <c r="N133" i="22"/>
  <c r="M133" i="22"/>
  <c r="L133" i="22"/>
  <c r="J130" i="22"/>
  <c r="N127" i="22"/>
  <c r="N125" i="22" s="1"/>
  <c r="M127" i="22"/>
  <c r="P127" i="22" s="1"/>
  <c r="L127" i="22"/>
  <c r="O127" i="22" s="1"/>
  <c r="P126" i="22"/>
  <c r="O126" i="22"/>
  <c r="N124" i="22"/>
  <c r="N122" i="22" s="1"/>
  <c r="M124" i="22"/>
  <c r="P124" i="22" s="1"/>
  <c r="L124" i="22"/>
  <c r="O124" i="22" s="1"/>
  <c r="P123" i="22"/>
  <c r="O123" i="22"/>
  <c r="P120" i="22"/>
  <c r="N120" i="22"/>
  <c r="M120" i="22"/>
  <c r="L120" i="22"/>
  <c r="O120" i="22" s="1"/>
  <c r="I116" i="22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J99" i="22"/>
  <c r="J87" i="22" s="1"/>
  <c r="I99" i="22"/>
  <c r="I87" i="22" s="1"/>
  <c r="K87" i="22" s="1"/>
  <c r="J98" i="22"/>
  <c r="I98" i="22"/>
  <c r="N96" i="22"/>
  <c r="N94" i="22" s="1"/>
  <c r="M96" i="22"/>
  <c r="P96" i="22" s="1"/>
  <c r="L96" i="22"/>
  <c r="O96" i="22" s="1"/>
  <c r="P95" i="22"/>
  <c r="O95" i="22"/>
  <c r="N93" i="22"/>
  <c r="N91" i="22" s="1"/>
  <c r="M93" i="22"/>
  <c r="L93" i="22"/>
  <c r="P92" i="22"/>
  <c r="O92" i="22"/>
  <c r="P89" i="22"/>
  <c r="O89" i="22"/>
  <c r="N89" i="22"/>
  <c r="M89" i="22"/>
  <c r="L89" i="22"/>
  <c r="J86" i="22"/>
  <c r="I84" i="22"/>
  <c r="K84" i="22" s="1"/>
  <c r="I83" i="22"/>
  <c r="K83" i="22" s="1"/>
  <c r="I82" i="22"/>
  <c r="K82" i="22" s="1"/>
  <c r="I81" i="22"/>
  <c r="K81" i="22" s="1"/>
  <c r="I80" i="22"/>
  <c r="I79" i="22"/>
  <c r="K79" i="22" s="1"/>
  <c r="I78" i="22"/>
  <c r="K78" i="22" s="1"/>
  <c r="J77" i="22"/>
  <c r="J65" i="22" s="1"/>
  <c r="J76" i="22"/>
  <c r="N74" i="22"/>
  <c r="N72" i="22" s="1"/>
  <c r="M74" i="22"/>
  <c r="P74" i="22" s="1"/>
  <c r="L74" i="22"/>
  <c r="L72" i="22" s="1"/>
  <c r="O72" i="22" s="1"/>
  <c r="P73" i="22"/>
  <c r="O73" i="22"/>
  <c r="N71" i="22"/>
  <c r="N69" i="22" s="1"/>
  <c r="M71" i="22"/>
  <c r="P71" i="22" s="1"/>
  <c r="L71" i="22"/>
  <c r="O71" i="22" s="1"/>
  <c r="P70" i="22"/>
  <c r="O70" i="22"/>
  <c r="P67" i="22"/>
  <c r="O67" i="22"/>
  <c r="N67" i="22"/>
  <c r="M67" i="22"/>
  <c r="L67" i="22"/>
  <c r="J64" i="22"/>
  <c r="N61" i="22"/>
  <c r="N59" i="22" s="1"/>
  <c r="M61" i="22"/>
  <c r="P61" i="22" s="1"/>
  <c r="L61" i="22"/>
  <c r="O61" i="22" s="1"/>
  <c r="P60" i="22"/>
  <c r="O60" i="22"/>
  <c r="N58" i="22"/>
  <c r="M58" i="22"/>
  <c r="M56" i="22" s="1"/>
  <c r="L58" i="22"/>
  <c r="P57" i="22"/>
  <c r="O57" i="22"/>
  <c r="N54" i="22"/>
  <c r="M54" i="22"/>
  <c r="L54" i="22"/>
  <c r="O54" i="22" s="1"/>
  <c r="N49" i="22"/>
  <c r="N47" i="22" s="1"/>
  <c r="M49" i="22"/>
  <c r="L49" i="22"/>
  <c r="O49" i="22" s="1"/>
  <c r="P48" i="22"/>
  <c r="O48" i="22"/>
  <c r="N46" i="22"/>
  <c r="M46" i="22"/>
  <c r="M44" i="22" s="1"/>
  <c r="L46" i="22"/>
  <c r="L44" i="22" s="1"/>
  <c r="P45" i="22"/>
  <c r="O45" i="22"/>
  <c r="O42" i="22"/>
  <c r="N42" i="22"/>
  <c r="M42" i="22"/>
  <c r="P42" i="22" s="1"/>
  <c r="L42" i="22"/>
  <c r="N36" i="22"/>
  <c r="M36" i="22"/>
  <c r="P36" i="22" s="1"/>
  <c r="P35" i="22"/>
  <c r="N35" i="22"/>
  <c r="M35" i="22"/>
  <c r="L35" i="22"/>
  <c r="N34" i="22"/>
  <c r="O32" i="22"/>
  <c r="N32" i="22"/>
  <c r="N29" i="22" s="1"/>
  <c r="M32" i="22"/>
  <c r="L32" i="22"/>
  <c r="L29" i="22"/>
  <c r="N25" i="22"/>
  <c r="N15" i="22" s="1"/>
  <c r="M25" i="22"/>
  <c r="P25" i="22" s="1"/>
  <c r="L25" i="22"/>
  <c r="O25" i="22" s="1"/>
  <c r="P22" i="22"/>
  <c r="N22" i="22"/>
  <c r="M22" i="22"/>
  <c r="L22" i="22"/>
  <c r="N19" i="22"/>
  <c r="L19" i="22"/>
  <c r="L15" i="22"/>
  <c r="O15" i="22" s="1"/>
  <c r="N12" i="22"/>
  <c r="N9" i="22" s="1"/>
  <c r="M12" i="22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P807" i="21"/>
  <c r="O807" i="21"/>
  <c r="N807" i="21"/>
  <c r="M807" i="21"/>
  <c r="L807" i="21"/>
  <c r="O806" i="21"/>
  <c r="N806" i="21"/>
  <c r="N805" i="21" s="1"/>
  <c r="M806" i="21"/>
  <c r="P806" i="21" s="1"/>
  <c r="L806" i="21"/>
  <c r="M805" i="21"/>
  <c r="P805" i="21" s="1"/>
  <c r="L805" i="21"/>
  <c r="O805" i="21" s="1"/>
  <c r="K804" i="21"/>
  <c r="J804" i="21"/>
  <c r="K802" i="21"/>
  <c r="J801" i="21"/>
  <c r="J800" i="21"/>
  <c r="J785" i="21" s="1"/>
  <c r="I800" i="21"/>
  <c r="K800" i="21" s="1"/>
  <c r="P798" i="21"/>
  <c r="O798" i="21"/>
  <c r="P797" i="21"/>
  <c r="O797" i="21"/>
  <c r="P796" i="21"/>
  <c r="N796" i="21"/>
  <c r="M796" i="21"/>
  <c r="L796" i="21"/>
  <c r="O796" i="21" s="1"/>
  <c r="P791" i="21"/>
  <c r="N791" i="21"/>
  <c r="L791" i="21"/>
  <c r="L789" i="21" s="1"/>
  <c r="O789" i="21" s="1"/>
  <c r="P790" i="21"/>
  <c r="O790" i="21"/>
  <c r="P789" i="21"/>
  <c r="N789" i="21"/>
  <c r="M789" i="21"/>
  <c r="P788" i="21"/>
  <c r="N788" i="21"/>
  <c r="M788" i="21"/>
  <c r="O787" i="21"/>
  <c r="N787" i="21"/>
  <c r="M787" i="21"/>
  <c r="P787" i="21" s="1"/>
  <c r="L787" i="21"/>
  <c r="N786" i="21"/>
  <c r="M786" i="21"/>
  <c r="P786" i="21" s="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M773" i="21"/>
  <c r="L773" i="21"/>
  <c r="O773" i="21" s="1"/>
  <c r="P772" i="21"/>
  <c r="O772" i="21"/>
  <c r="M772" i="21"/>
  <c r="L772" i="21"/>
  <c r="P771" i="21"/>
  <c r="O771" i="21"/>
  <c r="N771" i="21"/>
  <c r="M771" i="21"/>
  <c r="L771" i="21"/>
  <c r="L770" i="21" s="1"/>
  <c r="O770" i="21" s="1"/>
  <c r="M770" i="21"/>
  <c r="P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M757" i="21"/>
  <c r="L757" i="21"/>
  <c r="O757" i="21" s="1"/>
  <c r="P756" i="21"/>
  <c r="O756" i="21"/>
  <c r="M756" i="21"/>
  <c r="L756" i="21"/>
  <c r="P755" i="21"/>
  <c r="O755" i="21"/>
  <c r="N755" i="21"/>
  <c r="M755" i="21"/>
  <c r="L755" i="21"/>
  <c r="L754" i="21" s="1"/>
  <c r="O754" i="21" s="1"/>
  <c r="M754" i="21"/>
  <c r="P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M740" i="21"/>
  <c r="L740" i="21"/>
  <c r="O740" i="21" s="1"/>
  <c r="P739" i="21"/>
  <c r="O739" i="21"/>
  <c r="M739" i="21"/>
  <c r="L739" i="21"/>
  <c r="P738" i="21"/>
  <c r="O738" i="21"/>
  <c r="N738" i="21"/>
  <c r="M738" i="21"/>
  <c r="L738" i="21"/>
  <c r="L737" i="21" s="1"/>
  <c r="O737" i="21" s="1"/>
  <c r="M737" i="21"/>
  <c r="P737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J700" i="21"/>
  <c r="I700" i="21"/>
  <c r="K700" i="21" s="1"/>
  <c r="J699" i="21"/>
  <c r="I699" i="21"/>
  <c r="K699" i="21" s="1"/>
  <c r="P697" i="21"/>
  <c r="O697" i="21"/>
  <c r="P696" i="21"/>
  <c r="O696" i="21"/>
  <c r="N695" i="21"/>
  <c r="M695" i="21"/>
  <c r="P695" i="21" s="1"/>
  <c r="L695" i="21"/>
  <c r="O695" i="21" s="1"/>
  <c r="N690" i="21"/>
  <c r="N688" i="21" s="1"/>
  <c r="L690" i="21"/>
  <c r="O690" i="21" s="1"/>
  <c r="P686" i="21"/>
  <c r="O686" i="21"/>
  <c r="N686" i="21"/>
  <c r="M686" i="21"/>
  <c r="L686" i="21"/>
  <c r="J679" i="21"/>
  <c r="J678" i="21"/>
  <c r="I678" i="21"/>
  <c r="K678" i="21" s="1"/>
  <c r="J675" i="21"/>
  <c r="I671" i="21"/>
  <c r="K671" i="21" s="1"/>
  <c r="I670" i="21"/>
  <c r="K670" i="21" s="1"/>
  <c r="J669" i="21"/>
  <c r="J654" i="21" s="1"/>
  <c r="I669" i="21"/>
  <c r="K674" i="21" s="1"/>
  <c r="P667" i="21"/>
  <c r="O667" i="21"/>
  <c r="P666" i="21"/>
  <c r="O666" i="21"/>
  <c r="P665" i="21"/>
  <c r="O665" i="21"/>
  <c r="N665" i="21"/>
  <c r="M665" i="21"/>
  <c r="L665" i="21"/>
  <c r="N660" i="21"/>
  <c r="L660" i="21"/>
  <c r="L658" i="21" s="1"/>
  <c r="P659" i="21"/>
  <c r="O659" i="21"/>
  <c r="N657" i="21"/>
  <c r="N656" i="21"/>
  <c r="N655" i="21" s="1"/>
  <c r="M656" i="21"/>
  <c r="P656" i="21" s="1"/>
  <c r="L656" i="21"/>
  <c r="O656" i="21" s="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N638" i="21"/>
  <c r="N634" i="21" s="1"/>
  <c r="N631" i="21" s="1"/>
  <c r="L634" i="21"/>
  <c r="L631" i="21" s="1"/>
  <c r="O631" i="21" s="1"/>
  <c r="P633" i="21"/>
  <c r="O633" i="21"/>
  <c r="N632" i="21"/>
  <c r="P630" i="21"/>
  <c r="N630" i="21"/>
  <c r="N629" i="21" s="1"/>
  <c r="M630" i="2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3" i="21" s="1"/>
  <c r="J594" i="21"/>
  <c r="I594" i="21"/>
  <c r="K594" i="21" s="1"/>
  <c r="I593" i="21"/>
  <c r="J592" i="21"/>
  <c r="J583" i="21"/>
  <c r="J582" i="21"/>
  <c r="J576" i="21" s="1"/>
  <c r="J559" i="21" s="1"/>
  <c r="J543" i="21" s="1"/>
  <c r="J577" i="21"/>
  <c r="I577" i="21"/>
  <c r="I576" i="21"/>
  <c r="I559" i="21" s="1"/>
  <c r="I543" i="21" s="1"/>
  <c r="K543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O557" i="21" s="1"/>
  <c r="P556" i="21"/>
  <c r="O556" i="21"/>
  <c r="N555" i="21"/>
  <c r="N545" i="21" s="1"/>
  <c r="N544" i="21" s="1"/>
  <c r="M555" i="21"/>
  <c r="M545" i="21" s="1"/>
  <c r="N553" i="21"/>
  <c r="N549" i="21" s="1"/>
  <c r="N546" i="21" s="1"/>
  <c r="L549" i="21"/>
  <c r="O549" i="21" s="1"/>
  <c r="P548" i="21"/>
  <c r="O548" i="21"/>
  <c r="N547" i="21"/>
  <c r="P545" i="2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L533" i="21" s="1"/>
  <c r="O533" i="21" s="1"/>
  <c r="P534" i="21"/>
  <c r="O534" i="21"/>
  <c r="P533" i="21"/>
  <c r="N533" i="21"/>
  <c r="M533" i="21"/>
  <c r="P528" i="21"/>
  <c r="N528" i="21"/>
  <c r="L528" i="21"/>
  <c r="L526" i="21" s="1"/>
  <c r="O526" i="21" s="1"/>
  <c r="P527" i="21"/>
  <c r="O527" i="21"/>
  <c r="P526" i="21"/>
  <c r="N526" i="21"/>
  <c r="M526" i="21"/>
  <c r="P525" i="21"/>
  <c r="N525" i="21"/>
  <c r="M525" i="21"/>
  <c r="O524" i="21"/>
  <c r="N524" i="21"/>
  <c r="N523" i="21" s="1"/>
  <c r="M524" i="21"/>
  <c r="M523" i="21" s="1"/>
  <c r="P523" i="21" s="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O505" i="21"/>
  <c r="N505" i="21"/>
  <c r="M505" i="21"/>
  <c r="L505" i="21"/>
  <c r="N504" i="21"/>
  <c r="M504" i="21"/>
  <c r="P504" i="21" s="1"/>
  <c r="L504" i="21"/>
  <c r="O504" i="21" s="1"/>
  <c r="N503" i="21"/>
  <c r="M503" i="21"/>
  <c r="P503" i="21" s="1"/>
  <c r="L503" i="21"/>
  <c r="O503" i="21" s="1"/>
  <c r="P502" i="21"/>
  <c r="M502" i="21"/>
  <c r="L502" i="21"/>
  <c r="O502" i="21" s="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P477" i="21"/>
  <c r="N477" i="21"/>
  <c r="M477" i="21"/>
  <c r="N476" i="21"/>
  <c r="N473" i="21"/>
  <c r="L472" i="21"/>
  <c r="M472" i="21" s="1"/>
  <c r="M469" i="21" s="1"/>
  <c r="M467" i="21" s="1"/>
  <c r="P471" i="21"/>
  <c r="O471" i="21"/>
  <c r="P468" i="21"/>
  <c r="O468" i="2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I443" i="21" s="1"/>
  <c r="K443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/>
  <c r="N446" i="21" s="1"/>
  <c r="L449" i="21"/>
  <c r="L447" i="21" s="1"/>
  <c r="P448" i="21"/>
  <c r="O448" i="21"/>
  <c r="N445" i="21"/>
  <c r="M445" i="21"/>
  <c r="P445" i="21" s="1"/>
  <c r="L445" i="21"/>
  <c r="O445" i="21" s="1"/>
  <c r="J443" i="21"/>
  <c r="J442" i="21"/>
  <c r="I441" i="21"/>
  <c r="K441" i="21" s="1"/>
  <c r="I440" i="21"/>
  <c r="K440" i="21" s="1"/>
  <c r="I439" i="21"/>
  <c r="K439" i="21" s="1"/>
  <c r="I438" i="21"/>
  <c r="K438" i="21" s="1"/>
  <c r="I437" i="21"/>
  <c r="K437" i="21" s="1"/>
  <c r="I435" i="21"/>
  <c r="K435" i="21" s="1"/>
  <c r="J434" i="21"/>
  <c r="J418" i="21" s="1"/>
  <c r="P431" i="21"/>
  <c r="L431" i="21"/>
  <c r="O431" i="21" s="1"/>
  <c r="P430" i="21"/>
  <c r="O430" i="21"/>
  <c r="P429" i="21"/>
  <c r="N429" i="21"/>
  <c r="M429" i="21"/>
  <c r="N428" i="21"/>
  <c r="N425" i="21"/>
  <c r="N424" i="21" s="1"/>
  <c r="N421" i="21" s="1"/>
  <c r="N419" i="21" s="1"/>
  <c r="L424" i="21"/>
  <c r="O424" i="21" s="1"/>
  <c r="P423" i="21"/>
  <c r="O423" i="21"/>
  <c r="P420" i="21"/>
  <c r="O420" i="21"/>
  <c r="N420" i="21"/>
  <c r="M420" i="21"/>
  <c r="L420" i="21"/>
  <c r="K413" i="21"/>
  <c r="K412" i="21"/>
  <c r="N410" i="21"/>
  <c r="N408" i="21" s="1"/>
  <c r="M410" i="21"/>
  <c r="M408" i="21" s="1"/>
  <c r="P408" i="21" s="1"/>
  <c r="L410" i="21"/>
  <c r="O410" i="21" s="1"/>
  <c r="P409" i="21"/>
  <c r="O409" i="21"/>
  <c r="N407" i="21"/>
  <c r="M407" i="21"/>
  <c r="M405" i="21" s="1"/>
  <c r="P405" i="21" s="1"/>
  <c r="L407" i="21"/>
  <c r="O407" i="21" s="1"/>
  <c r="P406" i="21"/>
  <c r="O406" i="21"/>
  <c r="O403" i="21"/>
  <c r="N403" i="21"/>
  <c r="M403" i="21"/>
  <c r="P403" i="21" s="1"/>
  <c r="L403" i="21"/>
  <c r="K401" i="21"/>
  <c r="J401" i="21"/>
  <c r="I401" i="2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P394" i="21" s="1"/>
  <c r="L394" i="21"/>
  <c r="L392" i="21" s="1"/>
  <c r="O392" i="21" s="1"/>
  <c r="P393" i="21"/>
  <c r="O393" i="21"/>
  <c r="P390" i="21"/>
  <c r="N390" i="21"/>
  <c r="M390" i="21"/>
  <c r="L390" i="2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L351" i="21" s="1"/>
  <c r="P352" i="21"/>
  <c r="O352" i="21"/>
  <c r="N350" i="21"/>
  <c r="M350" i="21"/>
  <c r="M348" i="21" s="1"/>
  <c r="L350" i="2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N331" i="21" s="1"/>
  <c r="M333" i="21"/>
  <c r="M331" i="21" s="1"/>
  <c r="L333" i="21"/>
  <c r="P332" i="21"/>
  <c r="O332" i="21"/>
  <c r="P329" i="21"/>
  <c r="N329" i="21"/>
  <c r="M329" i="21"/>
  <c r="L329" i="21"/>
  <c r="I327" i="21"/>
  <c r="I325" i="21"/>
  <c r="K325" i="21" s="1"/>
  <c r="N323" i="21"/>
  <c r="N321" i="21" s="1"/>
  <c r="M323" i="21"/>
  <c r="P323" i="21" s="1"/>
  <c r="L323" i="21"/>
  <c r="O323" i="21" s="1"/>
  <c r="P322" i="21"/>
  <c r="O322" i="21"/>
  <c r="N320" i="21"/>
  <c r="M320" i="21"/>
  <c r="P320" i="21" s="1"/>
  <c r="L320" i="21"/>
  <c r="O320" i="21" s="1"/>
  <c r="P319" i="21"/>
  <c r="O319" i="21"/>
  <c r="P316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K309" i="21" s="1"/>
  <c r="N306" i="21"/>
  <c r="M306" i="21"/>
  <c r="M304" i="21" s="1"/>
  <c r="P304" i="21" s="1"/>
  <c r="L306" i="21"/>
  <c r="L304" i="21" s="1"/>
  <c r="O304" i="21" s="1"/>
  <c r="P305" i="21"/>
  <c r="O305" i="21"/>
  <c r="N303" i="21"/>
  <c r="N301" i="21" s="1"/>
  <c r="M303" i="21"/>
  <c r="M301" i="21" s="1"/>
  <c r="L303" i="21"/>
  <c r="P302" i="21"/>
  <c r="O302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K287" i="21" s="1"/>
  <c r="N285" i="21"/>
  <c r="N283" i="21" s="1"/>
  <c r="M285" i="21"/>
  <c r="L285" i="21"/>
  <c r="O285" i="21" s="1"/>
  <c r="P284" i="21"/>
  <c r="O284" i="21"/>
  <c r="N282" i="21"/>
  <c r="M282" i="21"/>
  <c r="L282" i="21"/>
  <c r="P281" i="21"/>
  <c r="O281" i="21"/>
  <c r="N278" i="21"/>
  <c r="M278" i="21"/>
  <c r="P278" i="21" s="1"/>
  <c r="L278" i="21"/>
  <c r="J276" i="21"/>
  <c r="I271" i="21"/>
  <c r="K271" i="21" s="1"/>
  <c r="N269" i="21"/>
  <c r="N267" i="21" s="1"/>
  <c r="M269" i="21"/>
  <c r="P269" i="21" s="1"/>
  <c r="L269" i="21"/>
  <c r="P268" i="21"/>
  <c r="O268" i="21"/>
  <c r="N266" i="21"/>
  <c r="N264" i="21" s="1"/>
  <c r="M266" i="21"/>
  <c r="M264" i="21" s="1"/>
  <c r="L266" i="21"/>
  <c r="P265" i="21"/>
  <c r="O265" i="21"/>
  <c r="N262" i="21"/>
  <c r="M262" i="21"/>
  <c r="P262" i="21" s="1"/>
  <c r="L262" i="21"/>
  <c r="O262" i="21" s="1"/>
  <c r="J260" i="21"/>
  <c r="K258" i="21"/>
  <c r="K257" i="21"/>
  <c r="L253" i="21"/>
  <c r="L252" i="21"/>
  <c r="L251" i="21"/>
  <c r="L250" i="21"/>
  <c r="P249" i="21"/>
  <c r="N249" i="21"/>
  <c r="J248" i="21"/>
  <c r="K247" i="21"/>
  <c r="K246" i="21"/>
  <c r="I244" i="21"/>
  <c r="K244" i="21" s="1"/>
  <c r="L242" i="21"/>
  <c r="L241" i="21"/>
  <c r="L240" i="21"/>
  <c r="L239" i="21"/>
  <c r="P238" i="21"/>
  <c r="N238" i="2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N184" i="21" s="1"/>
  <c r="M186" i="21"/>
  <c r="M184" i="21" s="1"/>
  <c r="L186" i="21"/>
  <c r="P185" i="21"/>
  <c r="O185" i="21"/>
  <c r="P182" i="21"/>
  <c r="N182" i="21"/>
  <c r="M182" i="21"/>
  <c r="L182" i="21"/>
  <c r="J177" i="21"/>
  <c r="I176" i="21"/>
  <c r="K176" i="21" s="1"/>
  <c r="J174" i="21"/>
  <c r="J164" i="21" s="1"/>
  <c r="N173" i="21"/>
  <c r="N171" i="21" s="1"/>
  <c r="M173" i="21"/>
  <c r="M171" i="21" s="1"/>
  <c r="P171" i="21" s="1"/>
  <c r="L173" i="21"/>
  <c r="O173" i="21" s="1"/>
  <c r="P172" i="21"/>
  <c r="O172" i="21"/>
  <c r="N170" i="21"/>
  <c r="N168" i="21" s="1"/>
  <c r="M170" i="21"/>
  <c r="M168" i="21" s="1"/>
  <c r="L170" i="21"/>
  <c r="P169" i="21"/>
  <c r="O169" i="21"/>
  <c r="P166" i="21"/>
  <c r="O166" i="21"/>
  <c r="N166" i="21"/>
  <c r="M166" i="21"/>
  <c r="L166" i="21"/>
  <c r="I159" i="21"/>
  <c r="I148" i="21" s="1"/>
  <c r="N157" i="21"/>
  <c r="N155" i="21" s="1"/>
  <c r="M157" i="21"/>
  <c r="P157" i="21" s="1"/>
  <c r="L157" i="21"/>
  <c r="L155" i="21" s="1"/>
  <c r="O155" i="21" s="1"/>
  <c r="P156" i="21"/>
  <c r="O156" i="21"/>
  <c r="N154" i="21"/>
  <c r="N152" i="21" s="1"/>
  <c r="M154" i="21"/>
  <c r="M152" i="21" s="1"/>
  <c r="L154" i="21"/>
  <c r="L152" i="21" s="1"/>
  <c r="P153" i="21"/>
  <c r="O153" i="21"/>
  <c r="N150" i="21"/>
  <c r="M150" i="21"/>
  <c r="P150" i="21" s="1"/>
  <c r="L150" i="21"/>
  <c r="O150" i="21" s="1"/>
  <c r="J148" i="21"/>
  <c r="I146" i="21"/>
  <c r="I145" i="21"/>
  <c r="I143" i="21" s="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M137" i="21"/>
  <c r="P137" i="21" s="1"/>
  <c r="L137" i="21"/>
  <c r="O137" i="21" s="1"/>
  <c r="P136" i="21"/>
  <c r="O136" i="21"/>
  <c r="P133" i="21"/>
  <c r="O133" i="21"/>
  <c r="N133" i="21"/>
  <c r="M133" i="21"/>
  <c r="L133" i="21"/>
  <c r="J130" i="21"/>
  <c r="N127" i="21"/>
  <c r="N125" i="21" s="1"/>
  <c r="M127" i="21"/>
  <c r="P127" i="21" s="1"/>
  <c r="L127" i="21"/>
  <c r="L125" i="21" s="1"/>
  <c r="O125" i="21" s="1"/>
  <c r="P126" i="21"/>
  <c r="O126" i="21"/>
  <c r="N124" i="21"/>
  <c r="M124" i="21"/>
  <c r="P124" i="21" s="1"/>
  <c r="L124" i="21"/>
  <c r="L122" i="21" s="1"/>
  <c r="O122" i="21" s="1"/>
  <c r="P123" i="21"/>
  <c r="O123" i="21"/>
  <c r="N120" i="21"/>
  <c r="M120" i="21"/>
  <c r="P120" i="21" s="1"/>
  <c r="L120" i="21"/>
  <c r="O120" i="21" s="1"/>
  <c r="J118" i="21"/>
  <c r="K118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I87" i="21" s="1"/>
  <c r="J98" i="21"/>
  <c r="J86" i="21" s="1"/>
  <c r="I98" i="21"/>
  <c r="I86" i="21" s="1"/>
  <c r="N96" i="21"/>
  <c r="N94" i="21" s="1"/>
  <c r="M96" i="21"/>
  <c r="P96" i="21" s="1"/>
  <c r="L96" i="21"/>
  <c r="L94" i="21" s="1"/>
  <c r="O94" i="21" s="1"/>
  <c r="P95" i="21"/>
  <c r="O95" i="21"/>
  <c r="N93" i="21"/>
  <c r="N91" i="21" s="1"/>
  <c r="M93" i="21"/>
  <c r="M91" i="21" s="1"/>
  <c r="L93" i="21"/>
  <c r="L91" i="21" s="1"/>
  <c r="P92" i="21"/>
  <c r="O92" i="21"/>
  <c r="N89" i="21"/>
  <c r="M89" i="21"/>
  <c r="P89" i="21" s="1"/>
  <c r="L89" i="21"/>
  <c r="O89" i="21" s="1"/>
  <c r="J87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K78" i="21" s="1"/>
  <c r="J77" i="21"/>
  <c r="J65" i="21" s="1"/>
  <c r="J76" i="21"/>
  <c r="N74" i="21"/>
  <c r="N72" i="21" s="1"/>
  <c r="M74" i="21"/>
  <c r="P74" i="21" s="1"/>
  <c r="L74" i="21"/>
  <c r="O74" i="21" s="1"/>
  <c r="P73" i="21"/>
  <c r="O73" i="21"/>
  <c r="N71" i="21"/>
  <c r="N69" i="21" s="1"/>
  <c r="M71" i="21"/>
  <c r="L71" i="21"/>
  <c r="L69" i="21" s="1"/>
  <c r="P70" i="21"/>
  <c r="O70" i="21"/>
  <c r="P67" i="21"/>
  <c r="N67" i="21"/>
  <c r="M67" i="21"/>
  <c r="L67" i="21"/>
  <c r="O67" i="21" s="1"/>
  <c r="J64" i="21"/>
  <c r="N61" i="21"/>
  <c r="N59" i="21" s="1"/>
  <c r="M61" i="21"/>
  <c r="L61" i="21"/>
  <c r="L59" i="21" s="1"/>
  <c r="P60" i="21"/>
  <c r="O60" i="21"/>
  <c r="N58" i="21"/>
  <c r="N56" i="21" s="1"/>
  <c r="M58" i="21"/>
  <c r="M56" i="21" s="1"/>
  <c r="L58" i="21"/>
  <c r="P57" i="21"/>
  <c r="O57" i="21"/>
  <c r="O54" i="21"/>
  <c r="N54" i="21"/>
  <c r="M54" i="21"/>
  <c r="P54" i="21" s="1"/>
  <c r="L54" i="21"/>
  <c r="N49" i="21"/>
  <c r="N47" i="21" s="1"/>
  <c r="M49" i="21"/>
  <c r="P49" i="21" s="1"/>
  <c r="L49" i="21"/>
  <c r="L47" i="21" s="1"/>
  <c r="O47" i="21" s="1"/>
  <c r="P48" i="21"/>
  <c r="O48" i="21"/>
  <c r="N46" i="21"/>
  <c r="N44" i="21" s="1"/>
  <c r="M46" i="21"/>
  <c r="L46" i="21"/>
  <c r="L44" i="21" s="1"/>
  <c r="P45" i="21"/>
  <c r="O45" i="21"/>
  <c r="N42" i="21"/>
  <c r="M42" i="21"/>
  <c r="P42" i="21" s="1"/>
  <c r="L42" i="21"/>
  <c r="O42" i="21" s="1"/>
  <c r="N36" i="21"/>
  <c r="M36" i="21"/>
  <c r="P36" i="21" s="1"/>
  <c r="N35" i="21"/>
  <c r="N34" i="21" s="1"/>
  <c r="M35" i="21"/>
  <c r="M34" i="21" s="1"/>
  <c r="P34" i="21" s="1"/>
  <c r="L35" i="21"/>
  <c r="O35" i="21" s="1"/>
  <c r="N32" i="21"/>
  <c r="M32" i="21"/>
  <c r="L32" i="21"/>
  <c r="O32" i="21" s="1"/>
  <c r="N29" i="21"/>
  <c r="M29" i="21"/>
  <c r="P29" i="21" s="1"/>
  <c r="P25" i="21"/>
  <c r="O25" i="21"/>
  <c r="N25" i="21"/>
  <c r="M25" i="21"/>
  <c r="L25" i="21"/>
  <c r="P22" i="21"/>
  <c r="O22" i="21"/>
  <c r="N22" i="21"/>
  <c r="M22" i="21"/>
  <c r="L22" i="21"/>
  <c r="P19" i="21"/>
  <c r="M19" i="21"/>
  <c r="L19" i="21"/>
  <c r="O19" i="21" s="1"/>
  <c r="N15" i="21"/>
  <c r="L15" i="21"/>
  <c r="L12" i="21"/>
  <c r="O12" i="21" s="1"/>
  <c r="L9" i="21"/>
  <c r="O9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N807" i="20" s="1"/>
  <c r="N805" i="20" s="1"/>
  <c r="P809" i="20"/>
  <c r="O809" i="20"/>
  <c r="N808" i="20"/>
  <c r="M808" i="20"/>
  <c r="P808" i="20" s="1"/>
  <c r="L808" i="20"/>
  <c r="O808" i="20" s="1"/>
  <c r="M807" i="20"/>
  <c r="P807" i="20" s="1"/>
  <c r="L807" i="20"/>
  <c r="O807" i="20" s="1"/>
  <c r="P806" i="20"/>
  <c r="N806" i="20"/>
  <c r="M806" i="20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O791" i="20" s="1"/>
  <c r="P790" i="20"/>
  <c r="O790" i="20"/>
  <c r="N789" i="20"/>
  <c r="M789" i="20"/>
  <c r="P789" i="20" s="1"/>
  <c r="M788" i="20"/>
  <c r="P788" i="20" s="1"/>
  <c r="P787" i="20"/>
  <c r="N787" i="20"/>
  <c r="M787" i="20"/>
  <c r="M786" i="20" s="1"/>
  <c r="P786" i="20" s="1"/>
  <c r="L787" i="20"/>
  <c r="P782" i="20"/>
  <c r="O782" i="20"/>
  <c r="P781" i="20"/>
  <c r="O781" i="20"/>
  <c r="P780" i="20"/>
  <c r="O780" i="20"/>
  <c r="N780" i="20"/>
  <c r="M780" i="20"/>
  <c r="L780" i="20"/>
  <c r="P775" i="20"/>
  <c r="O775" i="20"/>
  <c r="N775" i="20"/>
  <c r="N773" i="20" s="1"/>
  <c r="P774" i="20"/>
  <c r="O774" i="20"/>
  <c r="O773" i="20"/>
  <c r="M773" i="20"/>
  <c r="P773" i="20" s="1"/>
  <c r="L773" i="20"/>
  <c r="N772" i="20"/>
  <c r="M772" i="20"/>
  <c r="P772" i="20" s="1"/>
  <c r="L772" i="20"/>
  <c r="O772" i="20" s="1"/>
  <c r="N771" i="20"/>
  <c r="N770" i="20" s="1"/>
  <c r="M771" i="20"/>
  <c r="L771" i="20"/>
  <c r="O771" i="20" s="1"/>
  <c r="L770" i="20"/>
  <c r="O770" i="20" s="1"/>
  <c r="K769" i="20"/>
  <c r="J769" i="20"/>
  <c r="P766" i="20"/>
  <c r="O766" i="20"/>
  <c r="P765" i="20"/>
  <c r="O765" i="20"/>
  <c r="P764" i="20"/>
  <c r="O764" i="20"/>
  <c r="N764" i="20"/>
  <c r="M764" i="20"/>
  <c r="L764" i="20"/>
  <c r="P759" i="20"/>
  <c r="O759" i="20"/>
  <c r="N759" i="20"/>
  <c r="N757" i="20" s="1"/>
  <c r="P758" i="20"/>
  <c r="O758" i="20"/>
  <c r="O757" i="20"/>
  <c r="M757" i="20"/>
  <c r="P757" i="20" s="1"/>
  <c r="L757" i="20"/>
  <c r="N756" i="20"/>
  <c r="M756" i="20"/>
  <c r="P756" i="20" s="1"/>
  <c r="L756" i="20"/>
  <c r="O756" i="20" s="1"/>
  <c r="N755" i="20"/>
  <c r="M755" i="20"/>
  <c r="L755" i="20"/>
  <c r="O755" i="20" s="1"/>
  <c r="L754" i="20"/>
  <c r="O754" i="20" s="1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N740" i="20" s="1"/>
  <c r="P741" i="20"/>
  <c r="O741" i="20"/>
  <c r="O740" i="20"/>
  <c r="M740" i="20"/>
  <c r="P740" i="20" s="1"/>
  <c r="L740" i="20"/>
  <c r="N739" i="20"/>
  <c r="N737" i="20" s="1"/>
  <c r="M739" i="20"/>
  <c r="P739" i="20" s="1"/>
  <c r="L739" i="20"/>
  <c r="O739" i="20" s="1"/>
  <c r="N738" i="20"/>
  <c r="M738" i="20"/>
  <c r="L738" i="20"/>
  <c r="O738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P695" i="20"/>
  <c r="O695" i="20"/>
  <c r="N695" i="20"/>
  <c r="M695" i="20"/>
  <c r="L695" i="20"/>
  <c r="N690" i="20"/>
  <c r="L690" i="20"/>
  <c r="N687" i="20"/>
  <c r="N685" i="20" s="1"/>
  <c r="N686" i="20"/>
  <c r="M686" i="20"/>
  <c r="L686" i="20"/>
  <c r="O686" i="20" s="1"/>
  <c r="J679" i="20"/>
  <c r="J678" i="20"/>
  <c r="I678" i="20"/>
  <c r="K678" i="20" s="1"/>
  <c r="J675" i="20"/>
  <c r="J669" i="20" s="1"/>
  <c r="I671" i="20"/>
  <c r="K671" i="20" s="1"/>
  <c r="I670" i="20"/>
  <c r="K670" i="20" s="1"/>
  <c r="I669" i="20"/>
  <c r="K673" i="20" s="1"/>
  <c r="P667" i="20"/>
  <c r="O667" i="20"/>
  <c r="P666" i="20"/>
  <c r="O666" i="20"/>
  <c r="N665" i="20"/>
  <c r="M665" i="20"/>
  <c r="P665" i="20" s="1"/>
  <c r="L665" i="20"/>
  <c r="O665" i="20" s="1"/>
  <c r="N660" i="20"/>
  <c r="N658" i="20" s="1"/>
  <c r="L660" i="20"/>
  <c r="P659" i="20"/>
  <c r="O659" i="20"/>
  <c r="N657" i="20"/>
  <c r="P656" i="20"/>
  <c r="O656" i="20"/>
  <c r="N656" i="20"/>
  <c r="M656" i="20"/>
  <c r="L656" i="20"/>
  <c r="N655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P639" i="20"/>
  <c r="N639" i="20"/>
  <c r="M639" i="20"/>
  <c r="P634" i="20"/>
  <c r="N634" i="20"/>
  <c r="L634" i="20"/>
  <c r="P633" i="20"/>
  <c r="O633" i="20"/>
  <c r="N632" i="20"/>
  <c r="M632" i="20"/>
  <c r="P632" i="20" s="1"/>
  <c r="N631" i="20"/>
  <c r="N629" i="20" s="1"/>
  <c r="M631" i="20"/>
  <c r="P631" i="20" s="1"/>
  <c r="N630" i="20"/>
  <c r="M630" i="20"/>
  <c r="L630" i="20"/>
  <c r="O630" i="20" s="1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J593" i="20"/>
  <c r="J592" i="20" s="1"/>
  <c r="I593" i="20"/>
  <c r="I592" i="20" s="1"/>
  <c r="J583" i="20"/>
  <c r="J582" i="20"/>
  <c r="J576" i="20" s="1"/>
  <c r="J559" i="20" s="1"/>
  <c r="J577" i="20"/>
  <c r="I577" i="20"/>
  <c r="K577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M555" i="20"/>
  <c r="N549" i="20"/>
  <c r="N547" i="20" s="1"/>
  <c r="L549" i="20"/>
  <c r="P548" i="20"/>
  <c r="O548" i="20"/>
  <c r="N546" i="20"/>
  <c r="O545" i="20"/>
  <c r="N545" i="20"/>
  <c r="L545" i="20"/>
  <c r="N544" i="20"/>
  <c r="J543" i="20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I522" i="20" s="1"/>
  <c r="K522" i="20" s="1"/>
  <c r="P535" i="20"/>
  <c r="L535" i="20"/>
  <c r="L533" i="20" s="1"/>
  <c r="O533" i="20" s="1"/>
  <c r="P534" i="20"/>
  <c r="O534" i="20"/>
  <c r="P533" i="20"/>
  <c r="N533" i="20"/>
  <c r="M533" i="20"/>
  <c r="P528" i="20"/>
  <c r="N528" i="20"/>
  <c r="L528" i="20"/>
  <c r="L526" i="20" s="1"/>
  <c r="O526" i="20" s="1"/>
  <c r="P527" i="20"/>
  <c r="O527" i="20"/>
  <c r="P526" i="20"/>
  <c r="N526" i="20"/>
  <c r="M526" i="20"/>
  <c r="P525" i="20"/>
  <c r="N525" i="20"/>
  <c r="M525" i="20"/>
  <c r="O524" i="20"/>
  <c r="N524" i="20"/>
  <c r="M524" i="20"/>
  <c r="M523" i="20" s="1"/>
  <c r="P523" i="20" s="1"/>
  <c r="L524" i="20"/>
  <c r="N523" i="20"/>
  <c r="K517" i="20"/>
  <c r="J517" i="20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N505" i="20" s="1"/>
  <c r="P506" i="20"/>
  <c r="O506" i="20"/>
  <c r="O505" i="20"/>
  <c r="M505" i="20"/>
  <c r="P505" i="20" s="1"/>
  <c r="L505" i="20"/>
  <c r="M504" i="20"/>
  <c r="P504" i="20" s="1"/>
  <c r="L504" i="20"/>
  <c r="O504" i="20" s="1"/>
  <c r="N503" i="20"/>
  <c r="M503" i="20"/>
  <c r="L503" i="20"/>
  <c r="O503" i="20" s="1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P472" i="20"/>
  <c r="N472" i="20"/>
  <c r="L472" i="20"/>
  <c r="O472" i="20" s="1"/>
  <c r="P471" i="20"/>
  <c r="O471" i="20"/>
  <c r="N470" i="20"/>
  <c r="M470" i="20"/>
  <c r="P470" i="20" s="1"/>
  <c r="N469" i="20"/>
  <c r="N467" i="20" s="1"/>
  <c r="M469" i="20"/>
  <c r="P469" i="20" s="1"/>
  <c r="P468" i="20"/>
  <c r="N468" i="20"/>
  <c r="M468" i="20"/>
  <c r="M467" i="20" s="1"/>
  <c r="L468" i="20"/>
  <c r="O468" i="20" s="1"/>
  <c r="P467" i="20"/>
  <c r="J466" i="20"/>
  <c r="I466" i="20"/>
  <c r="K466" i="20" s="1"/>
  <c r="J465" i="20"/>
  <c r="I465" i="20"/>
  <c r="K465" i="20" s="1"/>
  <c r="I464" i="20"/>
  <c r="I463" i="20"/>
  <c r="I462" i="20"/>
  <c r="I460" i="20"/>
  <c r="K458" i="20"/>
  <c r="P456" i="20"/>
  <c r="L456" i="20"/>
  <c r="O456" i="20" s="1"/>
  <c r="P455" i="20"/>
  <c r="O455" i="20"/>
  <c r="P454" i="20"/>
  <c r="N454" i="20"/>
  <c r="M454" i="20"/>
  <c r="P449" i="20"/>
  <c r="N449" i="20"/>
  <c r="L449" i="20"/>
  <c r="P448" i="20"/>
  <c r="O448" i="20"/>
  <c r="M447" i="20"/>
  <c r="P447" i="20" s="1"/>
  <c r="M446" i="20"/>
  <c r="N445" i="20"/>
  <c r="M445" i="20"/>
  <c r="P445" i="20" s="1"/>
  <c r="L445" i="20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I433" i="20" s="1"/>
  <c r="I417" i="20" s="1"/>
  <c r="J434" i="20"/>
  <c r="J418" i="20" s="1"/>
  <c r="P431" i="20"/>
  <c r="L431" i="20"/>
  <c r="P430" i="20"/>
  <c r="O430" i="20"/>
  <c r="P429" i="20"/>
  <c r="N429" i="20"/>
  <c r="M429" i="20"/>
  <c r="N424" i="20"/>
  <c r="L424" i="20"/>
  <c r="P423" i="20"/>
  <c r="O423" i="20"/>
  <c r="N422" i="20"/>
  <c r="O420" i="20"/>
  <c r="N420" i="20"/>
  <c r="M420" i="20"/>
  <c r="L420" i="20"/>
  <c r="K413" i="20"/>
  <c r="K412" i="20"/>
  <c r="N410" i="20"/>
  <c r="N408" i="20" s="1"/>
  <c r="M410" i="20"/>
  <c r="L410" i="20"/>
  <c r="O410" i="20" s="1"/>
  <c r="P409" i="20"/>
  <c r="O409" i="20"/>
  <c r="N407" i="20"/>
  <c r="N405" i="20" s="1"/>
  <c r="M407" i="20"/>
  <c r="P407" i="20" s="1"/>
  <c r="L407" i="20"/>
  <c r="P406" i="20"/>
  <c r="O406" i="20"/>
  <c r="N403" i="20"/>
  <c r="M403" i="20"/>
  <c r="L403" i="20"/>
  <c r="O403" i="20" s="1"/>
  <c r="J401" i="20"/>
  <c r="I401" i="20"/>
  <c r="K401" i="20" s="1"/>
  <c r="K400" i="20"/>
  <c r="K399" i="20"/>
  <c r="N397" i="20"/>
  <c r="N395" i="20" s="1"/>
  <c r="M397" i="20"/>
  <c r="L397" i="20"/>
  <c r="P396" i="20"/>
  <c r="O396" i="20"/>
  <c r="N394" i="20"/>
  <c r="N392" i="20" s="1"/>
  <c r="M394" i="20"/>
  <c r="M392" i="20" s="1"/>
  <c r="P392" i="20" s="1"/>
  <c r="L394" i="20"/>
  <c r="L392" i="20" s="1"/>
  <c r="O392" i="20" s="1"/>
  <c r="P393" i="20"/>
  <c r="O393" i="20"/>
  <c r="N390" i="20"/>
  <c r="M390" i="20"/>
  <c r="L390" i="20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M351" i="20" s="1"/>
  <c r="L353" i="20"/>
  <c r="P352" i="20"/>
  <c r="O352" i="20"/>
  <c r="N350" i="20"/>
  <c r="M350" i="20"/>
  <c r="M348" i="20" s="1"/>
  <c r="L350" i="20"/>
  <c r="L348" i="20" s="1"/>
  <c r="P349" i="20"/>
  <c r="O349" i="20"/>
  <c r="N346" i="20"/>
  <c r="M346" i="20"/>
  <c r="L346" i="20"/>
  <c r="J343" i="20"/>
  <c r="J342" i="20"/>
  <c r="J341" i="20"/>
  <c r="J340" i="20"/>
  <c r="I340" i="20"/>
  <c r="J338" i="20"/>
  <c r="I338" i="20"/>
  <c r="N336" i="20"/>
  <c r="M336" i="20"/>
  <c r="M334" i="20" s="1"/>
  <c r="P334" i="20" s="1"/>
  <c r="L336" i="20"/>
  <c r="P335" i="20"/>
  <c r="O335" i="20"/>
  <c r="N333" i="20"/>
  <c r="N331" i="20" s="1"/>
  <c r="M333" i="20"/>
  <c r="M331" i="20" s="1"/>
  <c r="L333" i="20"/>
  <c r="L331" i="20" s="1"/>
  <c r="P332" i="20"/>
  <c r="O332" i="20"/>
  <c r="N329" i="20"/>
  <c r="M329" i="20"/>
  <c r="P329" i="20" s="1"/>
  <c r="L329" i="20"/>
  <c r="I327" i="20"/>
  <c r="I325" i="20"/>
  <c r="K325" i="20" s="1"/>
  <c r="N323" i="20"/>
  <c r="N321" i="20" s="1"/>
  <c r="M323" i="20"/>
  <c r="M321" i="20" s="1"/>
  <c r="P321" i="20" s="1"/>
  <c r="L323" i="20"/>
  <c r="P322" i="20"/>
  <c r="O322" i="20"/>
  <c r="N320" i="20"/>
  <c r="N318" i="20" s="1"/>
  <c r="M320" i="20"/>
  <c r="M318" i="20" s="1"/>
  <c r="P318" i="20" s="1"/>
  <c r="L320" i="20"/>
  <c r="P319" i="20"/>
  <c r="O319" i="20"/>
  <c r="P316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N306" i="20"/>
  <c r="N304" i="20" s="1"/>
  <c r="M306" i="20"/>
  <c r="P306" i="20" s="1"/>
  <c r="L306" i="20"/>
  <c r="P305" i="20"/>
  <c r="O305" i="20"/>
  <c r="N303" i="20"/>
  <c r="N301" i="20" s="1"/>
  <c r="M303" i="20"/>
  <c r="P303" i="20" s="1"/>
  <c r="L303" i="20"/>
  <c r="O303" i="20" s="1"/>
  <c r="P302" i="20"/>
  <c r="O302" i="20"/>
  <c r="P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N285" i="20"/>
  <c r="N283" i="20" s="1"/>
  <c r="M285" i="20"/>
  <c r="P285" i="20" s="1"/>
  <c r="L285" i="20"/>
  <c r="P284" i="20"/>
  <c r="O284" i="20"/>
  <c r="N282" i="20"/>
  <c r="M282" i="20"/>
  <c r="P282" i="20" s="1"/>
  <c r="L282" i="20"/>
  <c r="P281" i="20"/>
  <c r="O281" i="20"/>
  <c r="N278" i="20"/>
  <c r="M278" i="20"/>
  <c r="L278" i="20"/>
  <c r="O278" i="20" s="1"/>
  <c r="J276" i="20"/>
  <c r="I271" i="20"/>
  <c r="N269" i="20"/>
  <c r="N267" i="20" s="1"/>
  <c r="M269" i="20"/>
  <c r="L269" i="20"/>
  <c r="O269" i="20" s="1"/>
  <c r="P268" i="20"/>
  <c r="O268" i="20"/>
  <c r="N266" i="20"/>
  <c r="N264" i="20" s="1"/>
  <c r="M266" i="20"/>
  <c r="L266" i="20"/>
  <c r="P265" i="20"/>
  <c r="O265" i="20"/>
  <c r="P262" i="20"/>
  <c r="N262" i="20"/>
  <c r="M262" i="20"/>
  <c r="L262" i="20"/>
  <c r="J260" i="20"/>
  <c r="K258" i="20"/>
  <c r="K257" i="20"/>
  <c r="L253" i="20"/>
  <c r="L252" i="20"/>
  <c r="L251" i="20"/>
  <c r="L250" i="20"/>
  <c r="P249" i="20"/>
  <c r="N249" i="20"/>
  <c r="J248" i="20"/>
  <c r="K247" i="20"/>
  <c r="K246" i="20"/>
  <c r="I244" i="20"/>
  <c r="K244" i="20" s="1"/>
  <c r="L242" i="20"/>
  <c r="L241" i="20"/>
  <c r="L240" i="20"/>
  <c r="L239" i="20"/>
  <c r="P238" i="20"/>
  <c r="N238" i="20"/>
  <c r="J237" i="20"/>
  <c r="J226" i="20" s="1"/>
  <c r="J180" i="20" s="1"/>
  <c r="J236" i="20"/>
  <c r="I236" i="20"/>
  <c r="K236" i="20" s="1"/>
  <c r="K235" i="20"/>
  <c r="J235" i="20"/>
  <c r="I235" i="20"/>
  <c r="J233" i="20"/>
  <c r="N231" i="20"/>
  <c r="N230" i="20"/>
  <c r="N229" i="20"/>
  <c r="N228" i="20"/>
  <c r="N227" i="20"/>
  <c r="I225" i="20"/>
  <c r="I224" i="20"/>
  <c r="K224" i="20" s="1"/>
  <c r="I223" i="20"/>
  <c r="K223" i="20" s="1"/>
  <c r="L220" i="20"/>
  <c r="L219" i="20"/>
  <c r="L218" i="20"/>
  <c r="P217" i="20"/>
  <c r="N217" i="20"/>
  <c r="J216" i="20"/>
  <c r="I215" i="20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P191" i="20"/>
  <c r="L191" i="20"/>
  <c r="O191" i="20" s="1"/>
  <c r="J190" i="20"/>
  <c r="N189" i="20"/>
  <c r="N187" i="20" s="1"/>
  <c r="M189" i="20"/>
  <c r="L189" i="20"/>
  <c r="O189" i="20" s="1"/>
  <c r="P188" i="20"/>
  <c r="O188" i="20"/>
  <c r="N186" i="20"/>
  <c r="N184" i="20" s="1"/>
  <c r="M186" i="20"/>
  <c r="L186" i="20"/>
  <c r="L184" i="20" s="1"/>
  <c r="P185" i="20"/>
  <c r="O185" i="20"/>
  <c r="N182" i="20"/>
  <c r="M182" i="20"/>
  <c r="P182" i="20" s="1"/>
  <c r="L182" i="20"/>
  <c r="O182" i="20" s="1"/>
  <c r="J177" i="20"/>
  <c r="I176" i="20"/>
  <c r="I174" i="20" s="1"/>
  <c r="I164" i="20" s="1"/>
  <c r="K164" i="20" s="1"/>
  <c r="J174" i="20"/>
  <c r="N173" i="20"/>
  <c r="M173" i="20"/>
  <c r="L173" i="20"/>
  <c r="O173" i="20" s="1"/>
  <c r="P172" i="20"/>
  <c r="O172" i="20"/>
  <c r="N170" i="20"/>
  <c r="N168" i="20" s="1"/>
  <c r="M170" i="20"/>
  <c r="L170" i="20"/>
  <c r="L168" i="20" s="1"/>
  <c r="P169" i="20"/>
  <c r="O169" i="20"/>
  <c r="N166" i="20"/>
  <c r="M166" i="20"/>
  <c r="L166" i="20"/>
  <c r="O166" i="20" s="1"/>
  <c r="J164" i="20"/>
  <c r="I159" i="20"/>
  <c r="N157" i="20"/>
  <c r="N155" i="20" s="1"/>
  <c r="M157" i="20"/>
  <c r="P157" i="20" s="1"/>
  <c r="L157" i="20"/>
  <c r="O157" i="20" s="1"/>
  <c r="P156" i="20"/>
  <c r="O156" i="20"/>
  <c r="N154" i="20"/>
  <c r="M154" i="20"/>
  <c r="P154" i="20" s="1"/>
  <c r="L154" i="20"/>
  <c r="L152" i="20" s="1"/>
  <c r="O152" i="20" s="1"/>
  <c r="P153" i="20"/>
  <c r="O153" i="20"/>
  <c r="P150" i="20"/>
  <c r="O150" i="20"/>
  <c r="N150" i="20"/>
  <c r="M150" i="20"/>
  <c r="L150" i="20"/>
  <c r="J148" i="20"/>
  <c r="I146" i="20"/>
  <c r="I130" i="20" s="1"/>
  <c r="K130" i="20" s="1"/>
  <c r="I145" i="20"/>
  <c r="K145" i="20" s="1"/>
  <c r="I144" i="20"/>
  <c r="N140" i="20"/>
  <c r="N138" i="20" s="1"/>
  <c r="M140" i="20"/>
  <c r="P140" i="20" s="1"/>
  <c r="L140" i="20"/>
  <c r="P139" i="20"/>
  <c r="O139" i="20"/>
  <c r="N137" i="20"/>
  <c r="N135" i="20" s="1"/>
  <c r="M137" i="20"/>
  <c r="M135" i="20" s="1"/>
  <c r="P135" i="20" s="1"/>
  <c r="L137" i="20"/>
  <c r="P136" i="20"/>
  <c r="O136" i="20"/>
  <c r="N133" i="20"/>
  <c r="M133" i="20"/>
  <c r="L133" i="20"/>
  <c r="J130" i="20"/>
  <c r="N127" i="20"/>
  <c r="N125" i="20" s="1"/>
  <c r="M127" i="20"/>
  <c r="P127" i="20" s="1"/>
  <c r="L127" i="20"/>
  <c r="O127" i="20" s="1"/>
  <c r="P126" i="20"/>
  <c r="O126" i="20"/>
  <c r="N124" i="20"/>
  <c r="M124" i="20"/>
  <c r="M122" i="20" s="1"/>
  <c r="P122" i="20" s="1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J98" i="20"/>
  <c r="I98" i="20"/>
  <c r="I86" i="20" s="1"/>
  <c r="K86" i="20" s="1"/>
  <c r="N96" i="20"/>
  <c r="N94" i="20" s="1"/>
  <c r="M96" i="20"/>
  <c r="L96" i="20"/>
  <c r="L94" i="20" s="1"/>
  <c r="O94" i="20" s="1"/>
  <c r="P95" i="20"/>
  <c r="O95" i="20"/>
  <c r="N93" i="20"/>
  <c r="M93" i="20"/>
  <c r="L93" i="20"/>
  <c r="L91" i="20" s="1"/>
  <c r="P92" i="20"/>
  <c r="O92" i="20"/>
  <c r="N89" i="20"/>
  <c r="M89" i="20"/>
  <c r="P89" i="20" s="1"/>
  <c r="L89" i="20"/>
  <c r="O89" i="20" s="1"/>
  <c r="J86" i="20"/>
  <c r="I84" i="20"/>
  <c r="K84" i="20" s="1"/>
  <c r="I83" i="20"/>
  <c r="K83" i="20" s="1"/>
  <c r="I82" i="20"/>
  <c r="I81" i="20"/>
  <c r="K81" i="20" s="1"/>
  <c r="I80" i="20"/>
  <c r="K80" i="20" s="1"/>
  <c r="I79" i="20"/>
  <c r="K79" i="20" s="1"/>
  <c r="I78" i="20"/>
  <c r="K78" i="20" s="1"/>
  <c r="J77" i="20"/>
  <c r="J76" i="20"/>
  <c r="J64" i="20" s="1"/>
  <c r="N74" i="20"/>
  <c r="N72" i="20" s="1"/>
  <c r="M74" i="20"/>
  <c r="P74" i="20" s="1"/>
  <c r="L74" i="20"/>
  <c r="P73" i="20"/>
  <c r="O73" i="20"/>
  <c r="N71" i="20"/>
  <c r="N69" i="20" s="1"/>
  <c r="M71" i="20"/>
  <c r="M69" i="20" s="1"/>
  <c r="P69" i="20" s="1"/>
  <c r="L71" i="20"/>
  <c r="P70" i="20"/>
  <c r="O70" i="20"/>
  <c r="N67" i="20"/>
  <c r="M67" i="20"/>
  <c r="L67" i="20"/>
  <c r="J65" i="20"/>
  <c r="N61" i="20"/>
  <c r="N59" i="20" s="1"/>
  <c r="M61" i="20"/>
  <c r="P61" i="20" s="1"/>
  <c r="L61" i="20"/>
  <c r="O61" i="20" s="1"/>
  <c r="P60" i="20"/>
  <c r="O60" i="20"/>
  <c r="N58" i="20"/>
  <c r="M58" i="20"/>
  <c r="M56" i="20" s="1"/>
  <c r="L58" i="20"/>
  <c r="L56" i="20" s="1"/>
  <c r="P57" i="20"/>
  <c r="O57" i="20"/>
  <c r="P54" i="20"/>
  <c r="O54" i="20"/>
  <c r="N54" i="20"/>
  <c r="M54" i="20"/>
  <c r="L54" i="20"/>
  <c r="N49" i="20"/>
  <c r="M49" i="20"/>
  <c r="P49" i="20" s="1"/>
  <c r="L49" i="20"/>
  <c r="O49" i="20" s="1"/>
  <c r="P48" i="20"/>
  <c r="O48" i="20"/>
  <c r="N46" i="20"/>
  <c r="N44" i="20" s="1"/>
  <c r="M46" i="20"/>
  <c r="L46" i="20"/>
  <c r="L44" i="20" s="1"/>
  <c r="P45" i="20"/>
  <c r="O45" i="20"/>
  <c r="N42" i="20"/>
  <c r="M42" i="20"/>
  <c r="P42" i="20" s="1"/>
  <c r="L42" i="20"/>
  <c r="O42" i="20" s="1"/>
  <c r="P36" i="20"/>
  <c r="N36" i="20"/>
  <c r="M36" i="20"/>
  <c r="O35" i="20"/>
  <c r="N35" i="20"/>
  <c r="N34" i="20" s="1"/>
  <c r="M35" i="20"/>
  <c r="P35" i="20" s="1"/>
  <c r="L35" i="20"/>
  <c r="M34" i="20"/>
  <c r="P34" i="20" s="1"/>
  <c r="P32" i="20"/>
  <c r="N32" i="20"/>
  <c r="M32" i="20"/>
  <c r="L32" i="20"/>
  <c r="O32" i="20" s="1"/>
  <c r="N29" i="20"/>
  <c r="M29" i="20"/>
  <c r="P29" i="20" s="1"/>
  <c r="P25" i="20"/>
  <c r="N25" i="20"/>
  <c r="N15" i="20" s="1"/>
  <c r="M25" i="20"/>
  <c r="L25" i="20"/>
  <c r="O25" i="20" s="1"/>
  <c r="O22" i="20"/>
  <c r="N22" i="20"/>
  <c r="N19" i="20" s="1"/>
  <c r="M22" i="20"/>
  <c r="P22" i="20" s="1"/>
  <c r="L22" i="20"/>
  <c r="L19" i="20"/>
  <c r="O19" i="20" s="1"/>
  <c r="M15" i="20"/>
  <c r="P15" i="20" s="1"/>
  <c r="L12" i="20"/>
  <c r="O12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N815" i="19"/>
  <c r="M815" i="19"/>
  <c r="P815" i="19" s="1"/>
  <c r="L815" i="19"/>
  <c r="O815" i="19" s="1"/>
  <c r="P810" i="19"/>
  <c r="O810" i="19"/>
  <c r="N810" i="19"/>
  <c r="P809" i="19"/>
  <c r="O809" i="19"/>
  <c r="P808" i="19"/>
  <c r="O808" i="19"/>
  <c r="N808" i="19"/>
  <c r="M808" i="19"/>
  <c r="L808" i="19"/>
  <c r="O807" i="19"/>
  <c r="N807" i="19"/>
  <c r="N805" i="19" s="1"/>
  <c r="M807" i="19"/>
  <c r="P807" i="19" s="1"/>
  <c r="L807" i="19"/>
  <c r="N806" i="19"/>
  <c r="M806" i="19"/>
  <c r="P806" i="19" s="1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O796" i="19"/>
  <c r="N796" i="19"/>
  <c r="M796" i="19"/>
  <c r="L796" i="19"/>
  <c r="P791" i="19"/>
  <c r="N791" i="19"/>
  <c r="N788" i="19" s="1"/>
  <c r="N786" i="19" s="1"/>
  <c r="L791" i="19"/>
  <c r="L789" i="19" s="1"/>
  <c r="O789" i="19" s="1"/>
  <c r="P790" i="19"/>
  <c r="O790" i="19"/>
  <c r="P789" i="19"/>
  <c r="N789" i="19"/>
  <c r="M789" i="19"/>
  <c r="M788" i="19"/>
  <c r="P788" i="19" s="1"/>
  <c r="N787" i="19"/>
  <c r="M787" i="19"/>
  <c r="P787" i="19" s="1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N773" i="19" s="1"/>
  <c r="P774" i="19"/>
  <c r="O774" i="19"/>
  <c r="P773" i="19"/>
  <c r="O773" i="19"/>
  <c r="M773" i="19"/>
  <c r="L773" i="19"/>
  <c r="P772" i="19"/>
  <c r="O772" i="19"/>
  <c r="N772" i="19"/>
  <c r="M772" i="19"/>
  <c r="L772" i="19"/>
  <c r="O771" i="19"/>
  <c r="N771" i="19"/>
  <c r="M771" i="19"/>
  <c r="L771" i="19"/>
  <c r="L770" i="19"/>
  <c r="O770" i="19" s="1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N757" i="19" s="1"/>
  <c r="P758" i="19"/>
  <c r="O758" i="19"/>
  <c r="P757" i="19"/>
  <c r="O757" i="19"/>
  <c r="M757" i="19"/>
  <c r="L757" i="19"/>
  <c r="P756" i="19"/>
  <c r="O756" i="19"/>
  <c r="N756" i="19"/>
  <c r="M756" i="19"/>
  <c r="L756" i="19"/>
  <c r="O755" i="19"/>
  <c r="N755" i="19"/>
  <c r="N754" i="19" s="1"/>
  <c r="M755" i="19"/>
  <c r="L755" i="19"/>
  <c r="L754" i="19"/>
  <c r="O754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N740" i="19" s="1"/>
  <c r="P741" i="19"/>
  <c r="O741" i="19"/>
  <c r="P740" i="19"/>
  <c r="O740" i="19"/>
  <c r="M740" i="19"/>
  <c r="L740" i="19"/>
  <c r="P739" i="19"/>
  <c r="O739" i="19"/>
  <c r="N739" i="19"/>
  <c r="M739" i="19"/>
  <c r="L739" i="19"/>
  <c r="O738" i="19"/>
  <c r="N738" i="19"/>
  <c r="M738" i="19"/>
  <c r="L738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N695" i="19"/>
  <c r="M695" i="19"/>
  <c r="P695" i="19" s="1"/>
  <c r="L695" i="19"/>
  <c r="O695" i="19" s="1"/>
  <c r="N690" i="19"/>
  <c r="N688" i="19" s="1"/>
  <c r="L690" i="19"/>
  <c r="O690" i="19" s="1"/>
  <c r="N687" i="19"/>
  <c r="O686" i="19"/>
  <c r="N686" i="19"/>
  <c r="N685" i="19" s="1"/>
  <c r="M686" i="19"/>
  <c r="L686" i="19"/>
  <c r="J679" i="19"/>
  <c r="J678" i="19"/>
  <c r="I678" i="19"/>
  <c r="K678" i="19" s="1"/>
  <c r="J675" i="19"/>
  <c r="I671" i="19"/>
  <c r="K671" i="19" s="1"/>
  <c r="I670" i="19"/>
  <c r="K670" i="19" s="1"/>
  <c r="I669" i="19"/>
  <c r="K674" i="19" s="1"/>
  <c r="P667" i="19"/>
  <c r="O667" i="19"/>
  <c r="P666" i="19"/>
  <c r="O666" i="19"/>
  <c r="O665" i="19"/>
  <c r="N665" i="19"/>
  <c r="M665" i="19"/>
  <c r="P665" i="19" s="1"/>
  <c r="L665" i="19"/>
  <c r="N660" i="19"/>
  <c r="L660" i="19"/>
  <c r="L657" i="19" s="1"/>
  <c r="O657" i="19" s="1"/>
  <c r="P659" i="19"/>
  <c r="O659" i="19"/>
  <c r="N658" i="19"/>
  <c r="N657" i="19"/>
  <c r="N656" i="19"/>
  <c r="N655" i="19" s="1"/>
  <c r="M656" i="19"/>
  <c r="P656" i="19" s="1"/>
  <c r="L656" i="19"/>
  <c r="O656" i="19" s="1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N634" i="19"/>
  <c r="L634" i="19"/>
  <c r="P633" i="19"/>
  <c r="O633" i="19"/>
  <c r="N632" i="19"/>
  <c r="N631" i="19"/>
  <c r="P630" i="19"/>
  <c r="O630" i="19"/>
  <c r="N630" i="19"/>
  <c r="N629" i="19" s="1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594" i="19" s="1"/>
  <c r="J603" i="19"/>
  <c r="J596" i="19"/>
  <c r="J595" i="19"/>
  <c r="I594" i="19"/>
  <c r="I593" i="19"/>
  <c r="I592" i="19" s="1"/>
  <c r="J583" i="19"/>
  <c r="J577" i="19" s="1"/>
  <c r="J582" i="19"/>
  <c r="I577" i="19"/>
  <c r="K577" i="19" s="1"/>
  <c r="J576" i="19"/>
  <c r="J559" i="19" s="1"/>
  <c r="J543" i="19" s="1"/>
  <c r="I576" i="19"/>
  <c r="I559" i="19" s="1"/>
  <c r="K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L555" i="19" s="1"/>
  <c r="O555" i="19" s="1"/>
  <c r="P556" i="19"/>
  <c r="O556" i="19"/>
  <c r="P555" i="19"/>
  <c r="N555" i="19"/>
  <c r="N545" i="19" s="1"/>
  <c r="N544" i="19" s="1"/>
  <c r="M555" i="19"/>
  <c r="N549" i="19"/>
  <c r="L549" i="19"/>
  <c r="L547" i="19" s="1"/>
  <c r="P548" i="19"/>
  <c r="O548" i="19"/>
  <c r="N547" i="19"/>
  <c r="N546" i="19"/>
  <c r="M545" i="19"/>
  <c r="P545" i="19" s="1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P534" i="19"/>
  <c r="O534" i="19"/>
  <c r="N533" i="19"/>
  <c r="M533" i="19"/>
  <c r="P533" i="19" s="1"/>
  <c r="P528" i="19"/>
  <c r="N528" i="19"/>
  <c r="L528" i="19"/>
  <c r="P527" i="19"/>
  <c r="O527" i="19"/>
  <c r="N526" i="19"/>
  <c r="M526" i="19"/>
  <c r="P526" i="19" s="1"/>
  <c r="N525" i="19"/>
  <c r="M525" i="19"/>
  <c r="P525" i="19" s="1"/>
  <c r="P524" i="19"/>
  <c r="N524" i="19"/>
  <c r="N523" i="19" s="1"/>
  <c r="M524" i="19"/>
  <c r="M523" i="19" s="1"/>
  <c r="P523" i="19" s="1"/>
  <c r="L524" i="19"/>
  <c r="O524" i="19" s="1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N504" i="19" s="1"/>
  <c r="P506" i="19"/>
  <c r="O506" i="19"/>
  <c r="P505" i="19"/>
  <c r="M505" i="19"/>
  <c r="L505" i="19"/>
  <c r="O505" i="19" s="1"/>
  <c r="P504" i="19"/>
  <c r="O504" i="19"/>
  <c r="M504" i="19"/>
  <c r="L504" i="19"/>
  <c r="P503" i="19"/>
  <c r="O503" i="19"/>
  <c r="N503" i="19"/>
  <c r="N502" i="19" s="1"/>
  <c r="M503" i="19"/>
  <c r="L503" i="19"/>
  <c r="L502" i="19" s="1"/>
  <c r="O502" i="19" s="1"/>
  <c r="M502" i="19"/>
  <c r="P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N477" i="19"/>
  <c r="M477" i="19"/>
  <c r="P477" i="19" s="1"/>
  <c r="N472" i="19"/>
  <c r="L472" i="19"/>
  <c r="O472" i="19" s="1"/>
  <c r="P471" i="19"/>
  <c r="O471" i="19"/>
  <c r="N470" i="19"/>
  <c r="N469" i="19"/>
  <c r="P468" i="19"/>
  <c r="O468" i="19"/>
  <c r="N468" i="19"/>
  <c r="M468" i="19"/>
  <c r="L468" i="19"/>
  <c r="N467" i="19"/>
  <c r="J466" i="19"/>
  <c r="I466" i="19"/>
  <c r="J465" i="19"/>
  <c r="I465" i="19"/>
  <c r="K465" i="19" s="1"/>
  <c r="I464" i="19"/>
  <c r="I463" i="19"/>
  <c r="I462" i="19"/>
  <c r="I460" i="19"/>
  <c r="K460" i="19" s="1"/>
  <c r="K458" i="19"/>
  <c r="P456" i="19"/>
  <c r="L456" i="19"/>
  <c r="P455" i="19"/>
  <c r="O455" i="19"/>
  <c r="N454" i="19"/>
  <c r="M454" i="19"/>
  <c r="P454" i="19" s="1"/>
  <c r="N449" i="19"/>
  <c r="N447" i="19" s="1"/>
  <c r="L449" i="19"/>
  <c r="P448" i="19"/>
  <c r="O448" i="19"/>
  <c r="N446" i="19"/>
  <c r="N445" i="19"/>
  <c r="N444" i="19" s="1"/>
  <c r="M445" i="19"/>
  <c r="P445" i="19" s="1"/>
  <c r="L445" i="19"/>
  <c r="O445" i="19" s="1"/>
  <c r="J443" i="19"/>
  <c r="J442" i="19"/>
  <c r="I442" i="19"/>
  <c r="K442" i="19" s="1"/>
  <c r="I441" i="19"/>
  <c r="K441" i="19" s="1"/>
  <c r="I440" i="19"/>
  <c r="K440" i="19" s="1"/>
  <c r="I439" i="19"/>
  <c r="K439" i="19" s="1"/>
  <c r="I438" i="19"/>
  <c r="I437" i="19"/>
  <c r="K437" i="19" s="1"/>
  <c r="I435" i="19"/>
  <c r="J434" i="19"/>
  <c r="J418" i="19" s="1"/>
  <c r="P431" i="19"/>
  <c r="L431" i="19"/>
  <c r="O431" i="19" s="1"/>
  <c r="P430" i="19"/>
  <c r="O430" i="19"/>
  <c r="P429" i="19"/>
  <c r="N429" i="19"/>
  <c r="M429" i="19"/>
  <c r="N424" i="19"/>
  <c r="L424" i="19"/>
  <c r="P423" i="19"/>
  <c r="O423" i="19"/>
  <c r="N422" i="19"/>
  <c r="N421" i="19"/>
  <c r="N420" i="19"/>
  <c r="N419" i="19" s="1"/>
  <c r="M420" i="19"/>
  <c r="P420" i="19" s="1"/>
  <c r="L420" i="19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P407" i="19" s="1"/>
  <c r="L407" i="19"/>
  <c r="O407" i="19" s="1"/>
  <c r="P406" i="19"/>
  <c r="O406" i="19"/>
  <c r="P403" i="19"/>
  <c r="N403" i="19"/>
  <c r="M403" i="19"/>
  <c r="L403" i="19"/>
  <c r="O403" i="19" s="1"/>
  <c r="J401" i="19"/>
  <c r="I401" i="19"/>
  <c r="K401" i="19" s="1"/>
  <c r="K400" i="19"/>
  <c r="K399" i="19"/>
  <c r="N397" i="19"/>
  <c r="N395" i="19" s="1"/>
  <c r="M397" i="19"/>
  <c r="L397" i="19"/>
  <c r="P396" i="19"/>
  <c r="O396" i="19"/>
  <c r="N394" i="19"/>
  <c r="N392" i="19" s="1"/>
  <c r="M394" i="19"/>
  <c r="P394" i="19" s="1"/>
  <c r="L394" i="19"/>
  <c r="P393" i="19"/>
  <c r="O393" i="19"/>
  <c r="N390" i="19"/>
  <c r="M390" i="19"/>
  <c r="P390" i="19" s="1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M350" i="19"/>
  <c r="M348" i="19" s="1"/>
  <c r="L350" i="19"/>
  <c r="L348" i="19" s="1"/>
  <c r="P349" i="19"/>
  <c r="O349" i="19"/>
  <c r="N346" i="19"/>
  <c r="M346" i="19"/>
  <c r="P346" i="19" s="1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L334" i="19" s="1"/>
  <c r="O334" i="19" s="1"/>
  <c r="P335" i="19"/>
  <c r="O335" i="19"/>
  <c r="N333" i="19"/>
  <c r="M333" i="19"/>
  <c r="M331" i="19" s="1"/>
  <c r="L333" i="19"/>
  <c r="L331" i="19" s="1"/>
  <c r="P332" i="19"/>
  <c r="O332" i="19"/>
  <c r="N329" i="19"/>
  <c r="M329" i="19"/>
  <c r="L329" i="19"/>
  <c r="I327" i="19"/>
  <c r="I325" i="19"/>
  <c r="K325" i="19" s="1"/>
  <c r="N323" i="19"/>
  <c r="N321" i="19" s="1"/>
  <c r="M323" i="19"/>
  <c r="L323" i="19"/>
  <c r="O323" i="19" s="1"/>
  <c r="P322" i="19"/>
  <c r="O322" i="19"/>
  <c r="N320" i="19"/>
  <c r="M320" i="19"/>
  <c r="L320" i="19"/>
  <c r="O320" i="19" s="1"/>
  <c r="P319" i="19"/>
  <c r="O319" i="19"/>
  <c r="P316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L306" i="19"/>
  <c r="L304" i="19" s="1"/>
  <c r="O304" i="19" s="1"/>
  <c r="P305" i="19"/>
  <c r="O305" i="19"/>
  <c r="N303" i="19"/>
  <c r="N301" i="19" s="1"/>
  <c r="M303" i="19"/>
  <c r="M301" i="19" s="1"/>
  <c r="L303" i="19"/>
  <c r="L301" i="19" s="1"/>
  <c r="P302" i="19"/>
  <c r="O302" i="19"/>
  <c r="P299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J275" i="19" s="1"/>
  <c r="I287" i="19"/>
  <c r="I276" i="19" s="1"/>
  <c r="K276" i="19" s="1"/>
  <c r="N285" i="19"/>
  <c r="N283" i="19" s="1"/>
  <c r="M285" i="19"/>
  <c r="P285" i="19" s="1"/>
  <c r="L285" i="19"/>
  <c r="O285" i="19" s="1"/>
  <c r="P284" i="19"/>
  <c r="O284" i="19"/>
  <c r="N282" i="19"/>
  <c r="N280" i="19" s="1"/>
  <c r="M282" i="19"/>
  <c r="P282" i="19" s="1"/>
  <c r="L282" i="19"/>
  <c r="L280" i="19" s="1"/>
  <c r="O280" i="19" s="1"/>
  <c r="P281" i="19"/>
  <c r="O281" i="19"/>
  <c r="P278" i="19"/>
  <c r="O278" i="19"/>
  <c r="N278" i="19"/>
  <c r="M278" i="19"/>
  <c r="L278" i="19"/>
  <c r="J276" i="19"/>
  <c r="I271" i="19"/>
  <c r="K271" i="19" s="1"/>
  <c r="N269" i="19"/>
  <c r="N267" i="19" s="1"/>
  <c r="M269" i="19"/>
  <c r="P269" i="19" s="1"/>
  <c r="L269" i="19"/>
  <c r="L267" i="19" s="1"/>
  <c r="O267" i="19" s="1"/>
  <c r="P268" i="19"/>
  <c r="O268" i="19"/>
  <c r="N266" i="19"/>
  <c r="N264" i="19" s="1"/>
  <c r="M266" i="19"/>
  <c r="M264" i="19" s="1"/>
  <c r="L266" i="19"/>
  <c r="L264" i="19" s="1"/>
  <c r="P265" i="19"/>
  <c r="O265" i="19"/>
  <c r="P262" i="19"/>
  <c r="O262" i="19"/>
  <c r="N262" i="19"/>
  <c r="M262" i="19"/>
  <c r="L262" i="19"/>
  <c r="J260" i="19"/>
  <c r="K258" i="19"/>
  <c r="K257" i="19"/>
  <c r="L253" i="19"/>
  <c r="L252" i="19"/>
  <c r="L251" i="19"/>
  <c r="L250" i="19"/>
  <c r="P249" i="19"/>
  <c r="N249" i="19"/>
  <c r="J248" i="19"/>
  <c r="K247" i="19"/>
  <c r="K246" i="19"/>
  <c r="I244" i="19"/>
  <c r="I237" i="19" s="1"/>
  <c r="L242" i="19"/>
  <c r="L241" i="19"/>
  <c r="L240" i="19"/>
  <c r="L239" i="19"/>
  <c r="P238" i="19"/>
  <c r="N238" i="19"/>
  <c r="J237" i="19"/>
  <c r="J226" i="19" s="1"/>
  <c r="J180" i="19" s="1"/>
  <c r="J236" i="19"/>
  <c r="I236" i="19"/>
  <c r="K236" i="19" s="1"/>
  <c r="J235" i="19"/>
  <c r="I235" i="19"/>
  <c r="K235" i="19" s="1"/>
  <c r="J233" i="19"/>
  <c r="N231" i="19"/>
  <c r="N230" i="19"/>
  <c r="N229" i="19"/>
  <c r="N228" i="19"/>
  <c r="I225" i="19"/>
  <c r="K225" i="19" s="1"/>
  <c r="I224" i="19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I204" i="19"/>
  <c r="I197" i="19" s="1"/>
  <c r="K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L184" i="19" s="1"/>
  <c r="P185" i="19"/>
  <c r="O185" i="19"/>
  <c r="O182" i="19"/>
  <c r="N182" i="19"/>
  <c r="M182" i="19"/>
  <c r="P182" i="19" s="1"/>
  <c r="L182" i="19"/>
  <c r="J177" i="19"/>
  <c r="I176" i="19"/>
  <c r="K176" i="19" s="1"/>
  <c r="J174" i="19"/>
  <c r="N173" i="19"/>
  <c r="N171" i="19" s="1"/>
  <c r="M173" i="19"/>
  <c r="P173" i="19" s="1"/>
  <c r="L173" i="19"/>
  <c r="O173" i="19" s="1"/>
  <c r="P172" i="19"/>
  <c r="O172" i="19"/>
  <c r="N170" i="19"/>
  <c r="N168" i="19" s="1"/>
  <c r="M170" i="19"/>
  <c r="L170" i="19"/>
  <c r="L168" i="19" s="1"/>
  <c r="P169" i="19"/>
  <c r="O169" i="19"/>
  <c r="P166" i="19"/>
  <c r="N166" i="19"/>
  <c r="M166" i="19"/>
  <c r="L166" i="19"/>
  <c r="O166" i="19" s="1"/>
  <c r="J164" i="19"/>
  <c r="I159" i="19"/>
  <c r="I148" i="19" s="1"/>
  <c r="K148" i="19" s="1"/>
  <c r="N157" i="19"/>
  <c r="N155" i="19" s="1"/>
  <c r="M157" i="19"/>
  <c r="P157" i="19" s="1"/>
  <c r="L157" i="19"/>
  <c r="L155" i="19" s="1"/>
  <c r="O155" i="19" s="1"/>
  <c r="P156" i="19"/>
  <c r="O156" i="19"/>
  <c r="N154" i="19"/>
  <c r="M154" i="19"/>
  <c r="M152" i="19" s="1"/>
  <c r="L154" i="19"/>
  <c r="L152" i="19" s="1"/>
  <c r="P153" i="19"/>
  <c r="O153" i="19"/>
  <c r="N150" i="19"/>
  <c r="M150" i="19"/>
  <c r="P150" i="19" s="1"/>
  <c r="L150" i="19"/>
  <c r="O150" i="19" s="1"/>
  <c r="J148" i="19"/>
  <c r="I146" i="19"/>
  <c r="I130" i="19" s="1"/>
  <c r="K130" i="19" s="1"/>
  <c r="I145" i="19"/>
  <c r="I144" i="19"/>
  <c r="K144" i="19" s="1"/>
  <c r="N140" i="19"/>
  <c r="N138" i="19" s="1"/>
  <c r="M140" i="19"/>
  <c r="P140" i="19" s="1"/>
  <c r="L140" i="19"/>
  <c r="L138" i="19" s="1"/>
  <c r="O138" i="19" s="1"/>
  <c r="P139" i="19"/>
  <c r="O139" i="19"/>
  <c r="N137" i="19"/>
  <c r="M137" i="19"/>
  <c r="P137" i="19" s="1"/>
  <c r="L137" i="19"/>
  <c r="O137" i="19" s="1"/>
  <c r="P136" i="19"/>
  <c r="O136" i="19"/>
  <c r="P133" i="19"/>
  <c r="N133" i="19"/>
  <c r="M133" i="19"/>
  <c r="L133" i="19"/>
  <c r="J130" i="19"/>
  <c r="N127" i="19"/>
  <c r="N125" i="19" s="1"/>
  <c r="M127" i="19"/>
  <c r="P127" i="19" s="1"/>
  <c r="L127" i="19"/>
  <c r="L125" i="19" s="1"/>
  <c r="O125" i="19" s="1"/>
  <c r="P126" i="19"/>
  <c r="O126" i="19"/>
  <c r="N124" i="19"/>
  <c r="N122" i="19" s="1"/>
  <c r="M124" i="19"/>
  <c r="P124" i="19" s="1"/>
  <c r="L124" i="19"/>
  <c r="L122" i="19" s="1"/>
  <c r="O122" i="19" s="1"/>
  <c r="P123" i="19"/>
  <c r="O123" i="19"/>
  <c r="N120" i="19"/>
  <c r="M120" i="19"/>
  <c r="P120" i="19" s="1"/>
  <c r="L120" i="19"/>
  <c r="O120" i="19" s="1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K99" i="19" s="1"/>
  <c r="J98" i="19"/>
  <c r="J86" i="19" s="1"/>
  <c r="I98" i="19"/>
  <c r="I86" i="19" s="1"/>
  <c r="K86" i="19" s="1"/>
  <c r="N96" i="19"/>
  <c r="N94" i="19" s="1"/>
  <c r="M96" i="19"/>
  <c r="P96" i="19" s="1"/>
  <c r="L96" i="19"/>
  <c r="O96" i="19" s="1"/>
  <c r="P95" i="19"/>
  <c r="O95" i="19"/>
  <c r="N93" i="19"/>
  <c r="N91" i="19" s="1"/>
  <c r="M93" i="19"/>
  <c r="M91" i="19" s="1"/>
  <c r="L93" i="19"/>
  <c r="L91" i="19" s="1"/>
  <c r="P92" i="19"/>
  <c r="O92" i="19"/>
  <c r="O89" i="19"/>
  <c r="N89" i="19"/>
  <c r="M89" i="19"/>
  <c r="P89" i="19" s="1"/>
  <c r="L89" i="19"/>
  <c r="J87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I78" i="19"/>
  <c r="K78" i="19" s="1"/>
  <c r="J77" i="19"/>
  <c r="J65" i="19" s="1"/>
  <c r="J76" i="19"/>
  <c r="N74" i="19"/>
  <c r="N72" i="19" s="1"/>
  <c r="M74" i="19"/>
  <c r="M72" i="19" s="1"/>
  <c r="P72" i="19" s="1"/>
  <c r="L74" i="19"/>
  <c r="O74" i="19" s="1"/>
  <c r="P73" i="19"/>
  <c r="O73" i="19"/>
  <c r="N71" i="19"/>
  <c r="N69" i="19" s="1"/>
  <c r="M71" i="19"/>
  <c r="P71" i="19" s="1"/>
  <c r="L71" i="19"/>
  <c r="L69" i="19" s="1"/>
  <c r="O69" i="19" s="1"/>
  <c r="P70" i="19"/>
  <c r="O70" i="19"/>
  <c r="P67" i="19"/>
  <c r="O67" i="19"/>
  <c r="N67" i="19"/>
  <c r="M67" i="19"/>
  <c r="L67" i="19"/>
  <c r="J64" i="19"/>
  <c r="N61" i="19"/>
  <c r="N59" i="19" s="1"/>
  <c r="M61" i="19"/>
  <c r="M59" i="19" s="1"/>
  <c r="P59" i="19" s="1"/>
  <c r="L61" i="19"/>
  <c r="L59" i="19" s="1"/>
  <c r="O59" i="19" s="1"/>
  <c r="P60" i="19"/>
  <c r="O60" i="19"/>
  <c r="N58" i="19"/>
  <c r="N56" i="19" s="1"/>
  <c r="M58" i="19"/>
  <c r="L58" i="19"/>
  <c r="L56" i="19" s="1"/>
  <c r="P57" i="19"/>
  <c r="O57" i="19"/>
  <c r="O54" i="19"/>
  <c r="N54" i="19"/>
  <c r="M54" i="19"/>
  <c r="P54" i="19" s="1"/>
  <c r="L54" i="19"/>
  <c r="N49" i="19"/>
  <c r="N47" i="19" s="1"/>
  <c r="M49" i="19"/>
  <c r="P49" i="19" s="1"/>
  <c r="L49" i="19"/>
  <c r="O49" i="19" s="1"/>
  <c r="P48" i="19"/>
  <c r="O48" i="19"/>
  <c r="N46" i="19"/>
  <c r="M46" i="19"/>
  <c r="M44" i="19" s="1"/>
  <c r="L46" i="19"/>
  <c r="P45" i="19"/>
  <c r="O45" i="19"/>
  <c r="P42" i="19"/>
  <c r="O42" i="19"/>
  <c r="N42" i="19"/>
  <c r="M42" i="19"/>
  <c r="L42" i="19"/>
  <c r="N36" i="19"/>
  <c r="M36" i="19"/>
  <c r="P36" i="19" s="1"/>
  <c r="N35" i="19"/>
  <c r="N34" i="19" s="1"/>
  <c r="M35" i="19"/>
  <c r="P35" i="19" s="1"/>
  <c r="L35" i="19"/>
  <c r="O35" i="19" s="1"/>
  <c r="N33" i="19"/>
  <c r="N30" i="19" s="1"/>
  <c r="O32" i="19"/>
  <c r="N32" i="19"/>
  <c r="M32" i="19"/>
  <c r="L32" i="19"/>
  <c r="N31" i="19"/>
  <c r="L29" i="19"/>
  <c r="O29" i="19" s="1"/>
  <c r="O25" i="19"/>
  <c r="N25" i="19"/>
  <c r="M25" i="19"/>
  <c r="L25" i="19"/>
  <c r="P22" i="19"/>
  <c r="N22" i="19"/>
  <c r="N19" i="19" s="1"/>
  <c r="M22" i="19"/>
  <c r="L22" i="19"/>
  <c r="O22" i="19" s="1"/>
  <c r="M19" i="19"/>
  <c r="L15" i="19"/>
  <c r="O15" i="19" s="1"/>
  <c r="M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P809" i="18"/>
  <c r="O809" i="18"/>
  <c r="P808" i="18"/>
  <c r="N808" i="18"/>
  <c r="M808" i="18"/>
  <c r="L808" i="18"/>
  <c r="O808" i="18" s="1"/>
  <c r="P807" i="18"/>
  <c r="O807" i="18"/>
  <c r="M807" i="18"/>
  <c r="L807" i="18"/>
  <c r="P806" i="18"/>
  <c r="O806" i="18"/>
  <c r="N806" i="18"/>
  <c r="N805" i="18" s="1"/>
  <c r="M806" i="18"/>
  <c r="L806" i="18"/>
  <c r="L805" i="18" s="1"/>
  <c r="O805" i="18"/>
  <c r="M805" i="18"/>
  <c r="P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O796" i="18"/>
  <c r="N796" i="18"/>
  <c r="M796" i="18"/>
  <c r="L796" i="18"/>
  <c r="N791" i="18"/>
  <c r="L791" i="18"/>
  <c r="P790" i="18"/>
  <c r="O790" i="18"/>
  <c r="N789" i="18"/>
  <c r="N788" i="18"/>
  <c r="P787" i="18"/>
  <c r="N787" i="18"/>
  <c r="M787" i="18"/>
  <c r="L787" i="18"/>
  <c r="O787" i="18" s="1"/>
  <c r="P782" i="18"/>
  <c r="O782" i="18"/>
  <c r="P781" i="18"/>
  <c r="O781" i="18"/>
  <c r="N780" i="18"/>
  <c r="M780" i="18"/>
  <c r="P780" i="18" s="1"/>
  <c r="L780" i="18"/>
  <c r="O780" i="18" s="1"/>
  <c r="P775" i="18"/>
  <c r="O775" i="18"/>
  <c r="N775" i="18"/>
  <c r="N773" i="18" s="1"/>
  <c r="P774" i="18"/>
  <c r="O774" i="18"/>
  <c r="O773" i="18"/>
  <c r="M773" i="18"/>
  <c r="P773" i="18" s="1"/>
  <c r="L773" i="18"/>
  <c r="P772" i="18"/>
  <c r="N772" i="18"/>
  <c r="M772" i="18"/>
  <c r="L772" i="18"/>
  <c r="O771" i="18"/>
  <c r="N771" i="18"/>
  <c r="M771" i="18"/>
  <c r="P771" i="18" s="1"/>
  <c r="L771" i="18"/>
  <c r="N770" i="18"/>
  <c r="K769" i="18"/>
  <c r="J769" i="18"/>
  <c r="P766" i="18"/>
  <c r="O766" i="18"/>
  <c r="P765" i="18"/>
  <c r="O765" i="18"/>
  <c r="N764" i="18"/>
  <c r="M764" i="18"/>
  <c r="P764" i="18" s="1"/>
  <c r="L764" i="18"/>
  <c r="O764" i="18" s="1"/>
  <c r="P759" i="18"/>
  <c r="O759" i="18"/>
  <c r="N759" i="18"/>
  <c r="N757" i="18" s="1"/>
  <c r="P758" i="18"/>
  <c r="O758" i="18"/>
  <c r="P757" i="18"/>
  <c r="O757" i="18"/>
  <c r="M757" i="18"/>
  <c r="L757" i="18"/>
  <c r="P756" i="18"/>
  <c r="O756" i="18"/>
  <c r="N756" i="18"/>
  <c r="M756" i="18"/>
  <c r="L756" i="18"/>
  <c r="O755" i="18"/>
  <c r="N755" i="18"/>
  <c r="N754" i="18" s="1"/>
  <c r="M755" i="18"/>
  <c r="P755" i="18" s="1"/>
  <c r="L755" i="18"/>
  <c r="M754" i="18"/>
  <c r="P754" i="18" s="1"/>
  <c r="L754" i="18"/>
  <c r="O754" i="18" s="1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740" i="18" s="1"/>
  <c r="P741" i="18"/>
  <c r="O741" i="18"/>
  <c r="O740" i="18"/>
  <c r="M740" i="18"/>
  <c r="P740" i="18" s="1"/>
  <c r="L740" i="18"/>
  <c r="P739" i="18"/>
  <c r="M739" i="18"/>
  <c r="L739" i="18"/>
  <c r="O739" i="18" s="1"/>
  <c r="O738" i="18"/>
  <c r="N738" i="18"/>
  <c r="M738" i="18"/>
  <c r="P738" i="18" s="1"/>
  <c r="L738" i="18"/>
  <c r="P737" i="18"/>
  <c r="M737" i="18"/>
  <c r="L737" i="18"/>
  <c r="O737" i="18" s="1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N695" i="18"/>
  <c r="M695" i="18"/>
  <c r="P695" i="18" s="1"/>
  <c r="L695" i="18"/>
  <c r="O695" i="18" s="1"/>
  <c r="P690" i="18"/>
  <c r="N690" i="18"/>
  <c r="L690" i="18"/>
  <c r="P688" i="18"/>
  <c r="N688" i="18"/>
  <c r="M688" i="18"/>
  <c r="N687" i="18"/>
  <c r="M687" i="18"/>
  <c r="P687" i="18" s="1"/>
  <c r="P686" i="18"/>
  <c r="N686" i="18"/>
  <c r="N685" i="18" s="1"/>
  <c r="M686" i="18"/>
  <c r="L686" i="18"/>
  <c r="O686" i="18" s="1"/>
  <c r="M685" i="18"/>
  <c r="P685" i="18" s="1"/>
  <c r="J679" i="18"/>
  <c r="J678" i="18" s="1"/>
  <c r="I678" i="18"/>
  <c r="K678" i="18" s="1"/>
  <c r="J675" i="18"/>
  <c r="I671" i="18"/>
  <c r="K671" i="18" s="1"/>
  <c r="I670" i="18"/>
  <c r="K670" i="18" s="1"/>
  <c r="J669" i="18"/>
  <c r="I669" i="18"/>
  <c r="P667" i="18"/>
  <c r="O667" i="18"/>
  <c r="P666" i="18"/>
  <c r="O666" i="18"/>
  <c r="N665" i="18"/>
  <c r="M665" i="18"/>
  <c r="P665" i="18" s="1"/>
  <c r="L665" i="18"/>
  <c r="O665" i="18" s="1"/>
  <c r="N660" i="18"/>
  <c r="L660" i="18"/>
  <c r="O660" i="18" s="1"/>
  <c r="P659" i="18"/>
  <c r="O659" i="18"/>
  <c r="N658" i="18"/>
  <c r="N657" i="18"/>
  <c r="P656" i="18"/>
  <c r="N656" i="18"/>
  <c r="N655" i="18" s="1"/>
  <c r="M656" i="18"/>
  <c r="L656" i="18"/>
  <c r="J654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N632" i="18" s="1"/>
  <c r="L634" i="18"/>
  <c r="P633" i="18"/>
  <c r="O633" i="18"/>
  <c r="N631" i="18"/>
  <c r="O630" i="18"/>
  <c r="N630" i="18"/>
  <c r="N629" i="18" s="1"/>
  <c r="M630" i="18"/>
  <c r="P630" i="18" s="1"/>
  <c r="L630" i="18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K594" i="18" s="1"/>
  <c r="J593" i="18"/>
  <c r="J592" i="18" s="1"/>
  <c r="I593" i="18"/>
  <c r="J583" i="18"/>
  <c r="J577" i="18" s="1"/>
  <c r="J582" i="18"/>
  <c r="J576" i="18" s="1"/>
  <c r="J559" i="18" s="1"/>
  <c r="J543" i="18" s="1"/>
  <c r="I577" i="18"/>
  <c r="I576" i="18"/>
  <c r="I559" i="18" s="1"/>
  <c r="J569" i="18"/>
  <c r="I569" i="18"/>
  <c r="J568" i="18"/>
  <c r="I568" i="18"/>
  <c r="K568" i="18" s="1"/>
  <c r="J561" i="18"/>
  <c r="I561" i="18"/>
  <c r="K561" i="18" s="1"/>
  <c r="J560" i="18"/>
  <c r="I560" i="18"/>
  <c r="P557" i="18"/>
  <c r="L557" i="18"/>
  <c r="L555" i="18" s="1"/>
  <c r="O555" i="18" s="1"/>
  <c r="P556" i="18"/>
  <c r="O556" i="18"/>
  <c r="N555" i="18"/>
  <c r="N545" i="18" s="1"/>
  <c r="M555" i="18"/>
  <c r="P555" i="18" s="1"/>
  <c r="N549" i="18"/>
  <c r="N546" i="18" s="1"/>
  <c r="N544" i="18" s="1"/>
  <c r="L549" i="18"/>
  <c r="P548" i="18"/>
  <c r="O548" i="18"/>
  <c r="N547" i="18"/>
  <c r="O545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P535" i="18"/>
  <c r="L535" i="18"/>
  <c r="O535" i="18" s="1"/>
  <c r="P534" i="18"/>
  <c r="O534" i="18"/>
  <c r="N533" i="18"/>
  <c r="M533" i="18"/>
  <c r="P533" i="18" s="1"/>
  <c r="N528" i="18"/>
  <c r="L528" i="18"/>
  <c r="P527" i="18"/>
  <c r="O527" i="18"/>
  <c r="N526" i="18"/>
  <c r="N525" i="18"/>
  <c r="P524" i="18"/>
  <c r="N524" i="18"/>
  <c r="N523" i="18" s="1"/>
  <c r="M524" i="18"/>
  <c r="L524" i="18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N504" i="18" s="1"/>
  <c r="N502" i="18" s="1"/>
  <c r="P506" i="18"/>
  <c r="O506" i="18"/>
  <c r="P505" i="18"/>
  <c r="N505" i="18"/>
  <c r="M505" i="18"/>
  <c r="L505" i="18"/>
  <c r="O505" i="18" s="1"/>
  <c r="O504" i="18"/>
  <c r="M504" i="18"/>
  <c r="P504" i="18" s="1"/>
  <c r="L504" i="18"/>
  <c r="P503" i="18"/>
  <c r="O503" i="18"/>
  <c r="N503" i="18"/>
  <c r="M503" i="18"/>
  <c r="L503" i="18"/>
  <c r="L502" i="18" s="1"/>
  <c r="O502" i="18"/>
  <c r="M502" i="18"/>
  <c r="P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N470" i="18" s="1"/>
  <c r="L472" i="18"/>
  <c r="P471" i="18"/>
  <c r="O471" i="18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I463" i="18"/>
  <c r="I462" i="18"/>
  <c r="I443" i="18" s="1"/>
  <c r="K443" i="18" s="1"/>
  <c r="I460" i="18"/>
  <c r="K460" i="18" s="1"/>
  <c r="K458" i="18"/>
  <c r="P456" i="18"/>
  <c r="L456" i="18"/>
  <c r="P455" i="18"/>
  <c r="O455" i="18"/>
  <c r="N454" i="18"/>
  <c r="M454" i="18"/>
  <c r="P454" i="18" s="1"/>
  <c r="P449" i="18"/>
  <c r="N449" i="18"/>
  <c r="N446" i="18" s="1"/>
  <c r="L449" i="18"/>
  <c r="O449" i="18" s="1"/>
  <c r="P448" i="18"/>
  <c r="O448" i="18"/>
  <c r="N447" i="18"/>
  <c r="M447" i="18"/>
  <c r="P447" i="18" s="1"/>
  <c r="M446" i="18"/>
  <c r="P446" i="18" s="1"/>
  <c r="N445" i="18"/>
  <c r="M445" i="18"/>
  <c r="L445" i="18"/>
  <c r="O445" i="18" s="1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J434" i="18"/>
  <c r="J418" i="18" s="1"/>
  <c r="P431" i="18"/>
  <c r="L431" i="18"/>
  <c r="P430" i="18"/>
  <c r="O430" i="18"/>
  <c r="N429" i="18"/>
  <c r="M429" i="18"/>
  <c r="P429" i="18" s="1"/>
  <c r="N424" i="18"/>
  <c r="N421" i="18" s="1"/>
  <c r="L424" i="18"/>
  <c r="L422" i="18" s="1"/>
  <c r="P423" i="18"/>
  <c r="O423" i="18"/>
  <c r="N422" i="18"/>
  <c r="O420" i="18"/>
  <c r="N420" i="18"/>
  <c r="M420" i="18"/>
  <c r="P420" i="18" s="1"/>
  <c r="L420" i="18"/>
  <c r="K413" i="18"/>
  <c r="K412" i="18"/>
  <c r="N410" i="18"/>
  <c r="M410" i="18"/>
  <c r="P410" i="18" s="1"/>
  <c r="L410" i="18"/>
  <c r="O410" i="18" s="1"/>
  <c r="P409" i="18"/>
  <c r="O409" i="18"/>
  <c r="N407" i="18"/>
  <c r="N405" i="18" s="1"/>
  <c r="M407" i="18"/>
  <c r="M405" i="18" s="1"/>
  <c r="P405" i="18" s="1"/>
  <c r="L407" i="18"/>
  <c r="O407" i="18" s="1"/>
  <c r="P406" i="18"/>
  <c r="O406" i="18"/>
  <c r="P403" i="18"/>
  <c r="N403" i="18"/>
  <c r="M403" i="18"/>
  <c r="L403" i="18"/>
  <c r="O403" i="18" s="1"/>
  <c r="K401" i="18"/>
  <c r="J401" i="18"/>
  <c r="I401" i="18"/>
  <c r="K400" i="18"/>
  <c r="K399" i="18"/>
  <c r="N397" i="18"/>
  <c r="N395" i="18" s="1"/>
  <c r="M397" i="18"/>
  <c r="P397" i="18" s="1"/>
  <c r="L397" i="18"/>
  <c r="P396" i="18"/>
  <c r="O396" i="18"/>
  <c r="N394" i="18"/>
  <c r="N392" i="18" s="1"/>
  <c r="M394" i="18"/>
  <c r="P394" i="18" s="1"/>
  <c r="L394" i="18"/>
  <c r="L392" i="18" s="1"/>
  <c r="O392" i="18" s="1"/>
  <c r="P393" i="18"/>
  <c r="O393" i="18"/>
  <c r="O390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N348" i="18" s="1"/>
  <c r="M350" i="18"/>
  <c r="L350" i="18"/>
  <c r="P349" i="18"/>
  <c r="O349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P335" i="18"/>
  <c r="O335" i="18"/>
  <c r="N333" i="18"/>
  <c r="M333" i="18"/>
  <c r="L333" i="18"/>
  <c r="P332" i="18"/>
  <c r="O332" i="18"/>
  <c r="N329" i="18"/>
  <c r="M329" i="18"/>
  <c r="L329" i="18"/>
  <c r="O329" i="18" s="1"/>
  <c r="I327" i="18"/>
  <c r="I325" i="18"/>
  <c r="N323" i="18"/>
  <c r="N321" i="18" s="1"/>
  <c r="M323" i="18"/>
  <c r="P323" i="18" s="1"/>
  <c r="L323" i="18"/>
  <c r="L321" i="18" s="1"/>
  <c r="O321" i="18" s="1"/>
  <c r="P322" i="18"/>
  <c r="O322" i="18"/>
  <c r="N320" i="18"/>
  <c r="M320" i="18"/>
  <c r="L320" i="18"/>
  <c r="L318" i="18" s="1"/>
  <c r="P319" i="18"/>
  <c r="O319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M306" i="18"/>
  <c r="L306" i="18"/>
  <c r="P305" i="18"/>
  <c r="O305" i="18"/>
  <c r="N303" i="18"/>
  <c r="N301" i="18" s="1"/>
  <c r="M303" i="18"/>
  <c r="P303" i="18" s="1"/>
  <c r="L303" i="18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N285" i="18"/>
  <c r="N283" i="18" s="1"/>
  <c r="M285" i="18"/>
  <c r="L285" i="18"/>
  <c r="P284" i="18"/>
  <c r="O284" i="18"/>
  <c r="N282" i="18"/>
  <c r="N280" i="18" s="1"/>
  <c r="M282" i="18"/>
  <c r="L282" i="18"/>
  <c r="P281" i="18"/>
  <c r="O281" i="18"/>
  <c r="P278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P268" i="18"/>
  <c r="O268" i="18"/>
  <c r="N266" i="18"/>
  <c r="N264" i="18" s="1"/>
  <c r="M266" i="18"/>
  <c r="L266" i="18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N227" i="18" s="1"/>
  <c r="J248" i="18"/>
  <c r="K247" i="18"/>
  <c r="K246" i="18"/>
  <c r="I244" i="18"/>
  <c r="L242" i="18"/>
  <c r="L241" i="18"/>
  <c r="L240" i="18"/>
  <c r="L239" i="18"/>
  <c r="P238" i="18"/>
  <c r="N238" i="18"/>
  <c r="J237" i="18"/>
  <c r="J226" i="18" s="1"/>
  <c r="K236" i="18"/>
  <c r="J236" i="18"/>
  <c r="I236" i="18"/>
  <c r="J235" i="18"/>
  <c r="K235" i="18" s="1"/>
  <c r="I235" i="18"/>
  <c r="J233" i="18"/>
  <c r="N231" i="18"/>
  <c r="N230" i="18"/>
  <c r="N229" i="18"/>
  <c r="N228" i="18"/>
  <c r="I225" i="18"/>
  <c r="K225" i="18" s="1"/>
  <c r="I224" i="18"/>
  <c r="I216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M186" i="18"/>
  <c r="M184" i="18" s="1"/>
  <c r="L186" i="18"/>
  <c r="L184" i="18" s="1"/>
  <c r="P185" i="18"/>
  <c r="O185" i="18"/>
  <c r="O182" i="18"/>
  <c r="N182" i="18"/>
  <c r="M182" i="18"/>
  <c r="L182" i="18"/>
  <c r="J180" i="18"/>
  <c r="J177" i="18"/>
  <c r="I176" i="18"/>
  <c r="I174" i="18" s="1"/>
  <c r="I164" i="18" s="1"/>
  <c r="J174" i="18"/>
  <c r="N173" i="18"/>
  <c r="N171" i="18" s="1"/>
  <c r="M173" i="18"/>
  <c r="P173" i="18" s="1"/>
  <c r="L173" i="18"/>
  <c r="P172" i="18"/>
  <c r="O172" i="18"/>
  <c r="N170" i="18"/>
  <c r="M170" i="18"/>
  <c r="M168" i="18" s="1"/>
  <c r="L170" i="18"/>
  <c r="P169" i="18"/>
  <c r="O169" i="18"/>
  <c r="N166" i="18"/>
  <c r="M166" i="18"/>
  <c r="P166" i="18" s="1"/>
  <c r="L166" i="18"/>
  <c r="I159" i="18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P154" i="18" s="1"/>
  <c r="L154" i="18"/>
  <c r="O154" i="18" s="1"/>
  <c r="P153" i="18"/>
  <c r="O153" i="18"/>
  <c r="O150" i="18"/>
  <c r="N150" i="18"/>
  <c r="M150" i="18"/>
  <c r="P150" i="18" s="1"/>
  <c r="L150" i="18"/>
  <c r="J148" i="18"/>
  <c r="I146" i="18"/>
  <c r="I145" i="18"/>
  <c r="K145" i="18" s="1"/>
  <c r="I144" i="18"/>
  <c r="K144" i="18" s="1"/>
  <c r="N140" i="18"/>
  <c r="N138" i="18" s="1"/>
  <c r="M140" i="18"/>
  <c r="L140" i="18"/>
  <c r="O140" i="18" s="1"/>
  <c r="P139" i="18"/>
  <c r="O139" i="18"/>
  <c r="N137" i="18"/>
  <c r="N135" i="18" s="1"/>
  <c r="M137" i="18"/>
  <c r="P137" i="18" s="1"/>
  <c r="L137" i="18"/>
  <c r="O137" i="18" s="1"/>
  <c r="P136" i="18"/>
  <c r="O136" i="18"/>
  <c r="P133" i="18"/>
  <c r="N133" i="18"/>
  <c r="M133" i="18"/>
  <c r="L133" i="18"/>
  <c r="O133" i="18" s="1"/>
  <c r="J130" i="18"/>
  <c r="N127" i="18"/>
  <c r="M127" i="18"/>
  <c r="M125" i="18" s="1"/>
  <c r="L127" i="18"/>
  <c r="L125" i="18" s="1"/>
  <c r="P126" i="18"/>
  <c r="O126" i="18"/>
  <c r="N124" i="18"/>
  <c r="N122" i="18" s="1"/>
  <c r="M124" i="18"/>
  <c r="P124" i="18" s="1"/>
  <c r="L124" i="18"/>
  <c r="O124" i="18" s="1"/>
  <c r="P123" i="18"/>
  <c r="O123" i="18"/>
  <c r="O120" i="18"/>
  <c r="N120" i="18"/>
  <c r="M120" i="18"/>
  <c r="P120" i="18" s="1"/>
  <c r="L120" i="18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J98" i="18"/>
  <c r="I98" i="18"/>
  <c r="K98" i="18" s="1"/>
  <c r="N96" i="18"/>
  <c r="N94" i="18" s="1"/>
  <c r="M96" i="18"/>
  <c r="M94" i="18" s="1"/>
  <c r="P94" i="18" s="1"/>
  <c r="L96" i="18"/>
  <c r="L94" i="18" s="1"/>
  <c r="O94" i="18" s="1"/>
  <c r="P95" i="18"/>
  <c r="O95" i="18"/>
  <c r="N93" i="18"/>
  <c r="M93" i="18"/>
  <c r="M91" i="18" s="1"/>
  <c r="L93" i="18"/>
  <c r="P92" i="18"/>
  <c r="O92" i="18"/>
  <c r="O89" i="18"/>
  <c r="N89" i="18"/>
  <c r="M89" i="18"/>
  <c r="P89" i="18" s="1"/>
  <c r="L89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65" i="18" s="1"/>
  <c r="J76" i="18"/>
  <c r="N74" i="18"/>
  <c r="N72" i="18" s="1"/>
  <c r="M74" i="18"/>
  <c r="M72" i="18" s="1"/>
  <c r="P72" i="18" s="1"/>
  <c r="L74" i="18"/>
  <c r="O74" i="18" s="1"/>
  <c r="P73" i="18"/>
  <c r="O73" i="18"/>
  <c r="N71" i="18"/>
  <c r="N69" i="18" s="1"/>
  <c r="M71" i="18"/>
  <c r="M69" i="18" s="1"/>
  <c r="L71" i="18"/>
  <c r="P70" i="18"/>
  <c r="O70" i="18"/>
  <c r="N67" i="18"/>
  <c r="M67" i="18"/>
  <c r="L67" i="18"/>
  <c r="J64" i="18"/>
  <c r="N61" i="18"/>
  <c r="N59" i="18" s="1"/>
  <c r="M61" i="18"/>
  <c r="M59" i="18" s="1"/>
  <c r="L61" i="18"/>
  <c r="P60" i="18"/>
  <c r="O60" i="18"/>
  <c r="N58" i="18"/>
  <c r="N56" i="18" s="1"/>
  <c r="M58" i="18"/>
  <c r="M56" i="18" s="1"/>
  <c r="L58" i="18"/>
  <c r="P57" i="18"/>
  <c r="O57" i="18"/>
  <c r="P54" i="18"/>
  <c r="O54" i="18"/>
  <c r="N54" i="18"/>
  <c r="M54" i="18"/>
  <c r="L54" i="18"/>
  <c r="N49" i="18"/>
  <c r="M49" i="18"/>
  <c r="M47" i="18" s="1"/>
  <c r="P47" i="18" s="1"/>
  <c r="L49" i="18"/>
  <c r="O49" i="18" s="1"/>
  <c r="P48" i="18"/>
  <c r="O48" i="18"/>
  <c r="N46" i="18"/>
  <c r="N44" i="18" s="1"/>
  <c r="M46" i="18"/>
  <c r="L46" i="18"/>
  <c r="P45" i="18"/>
  <c r="O45" i="18"/>
  <c r="N42" i="18"/>
  <c r="M42" i="18"/>
  <c r="L42" i="18"/>
  <c r="P36" i="18"/>
  <c r="N36" i="18"/>
  <c r="M36" i="18"/>
  <c r="P35" i="18"/>
  <c r="O35" i="18"/>
  <c r="N35" i="18"/>
  <c r="N34" i="18" s="1"/>
  <c r="M35" i="18"/>
  <c r="L35" i="18"/>
  <c r="M34" i="18"/>
  <c r="P34" i="18" s="1"/>
  <c r="N33" i="18"/>
  <c r="N30" i="18" s="1"/>
  <c r="N32" i="18"/>
  <c r="N31" i="18" s="1"/>
  <c r="M32" i="18"/>
  <c r="P32" i="18" s="1"/>
  <c r="L32" i="18"/>
  <c r="N25" i="18"/>
  <c r="M25" i="18"/>
  <c r="P25" i="18" s="1"/>
  <c r="L25" i="18"/>
  <c r="P22" i="18"/>
  <c r="O22" i="18"/>
  <c r="N22" i="18"/>
  <c r="N12" i="18" s="1"/>
  <c r="M22" i="18"/>
  <c r="L22" i="18"/>
  <c r="M19" i="18"/>
  <c r="P19" i="18" s="1"/>
  <c r="L19" i="18"/>
  <c r="N15" i="18"/>
  <c r="M12" i="18"/>
  <c r="P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N807" i="17" s="1"/>
  <c r="P809" i="17"/>
  <c r="O809" i="17"/>
  <c r="N808" i="17"/>
  <c r="M808" i="17"/>
  <c r="P808" i="17" s="1"/>
  <c r="L808" i="17"/>
  <c r="O808" i="17" s="1"/>
  <c r="M807" i="17"/>
  <c r="L807" i="17"/>
  <c r="O807" i="17" s="1"/>
  <c r="P806" i="17"/>
  <c r="N806" i="17"/>
  <c r="N805" i="17" s="1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L789" i="17" s="1"/>
  <c r="O789" i="17" s="1"/>
  <c r="P790" i="17"/>
  <c r="O790" i="17"/>
  <c r="N789" i="17"/>
  <c r="M789" i="17"/>
  <c r="P789" i="17" s="1"/>
  <c r="M788" i="17"/>
  <c r="P787" i="17"/>
  <c r="N787" i="17"/>
  <c r="M787" i="17"/>
  <c r="L787" i="17"/>
  <c r="P782" i="17"/>
  <c r="O782" i="17"/>
  <c r="P781" i="17"/>
  <c r="O781" i="17"/>
  <c r="P780" i="17"/>
  <c r="O780" i="17"/>
  <c r="N780" i="17"/>
  <c r="M780" i="17"/>
  <c r="L780" i="17"/>
  <c r="P775" i="17"/>
  <c r="O775" i="17"/>
  <c r="N775" i="17"/>
  <c r="P774" i="17"/>
  <c r="O774" i="17"/>
  <c r="O773" i="17"/>
  <c r="N773" i="17"/>
  <c r="M773" i="17"/>
  <c r="P773" i="17" s="1"/>
  <c r="L773" i="17"/>
  <c r="N772" i="17"/>
  <c r="N770" i="17" s="1"/>
  <c r="M772" i="17"/>
  <c r="P772" i="17" s="1"/>
  <c r="L772" i="17"/>
  <c r="O772" i="17" s="1"/>
  <c r="N771" i="17"/>
  <c r="M771" i="17"/>
  <c r="L771" i="17"/>
  <c r="O771" i="17" s="1"/>
  <c r="L770" i="17"/>
  <c r="O770" i="17" s="1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P758" i="17"/>
  <c r="O758" i="17"/>
  <c r="O757" i="17"/>
  <c r="N757" i="17"/>
  <c r="M757" i="17"/>
  <c r="P757" i="17" s="1"/>
  <c r="L757" i="17"/>
  <c r="N756" i="17"/>
  <c r="N754" i="17" s="1"/>
  <c r="M756" i="17"/>
  <c r="P756" i="17" s="1"/>
  <c r="L756" i="17"/>
  <c r="O756" i="17" s="1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P747" i="17"/>
  <c r="O747" i="17"/>
  <c r="N747" i="17"/>
  <c r="M747" i="17"/>
  <c r="L747" i="17"/>
  <c r="P742" i="17"/>
  <c r="O742" i="17"/>
  <c r="N742" i="17"/>
  <c r="P741" i="17"/>
  <c r="O741" i="17"/>
  <c r="O740" i="17"/>
  <c r="N740" i="17"/>
  <c r="M740" i="17"/>
  <c r="P740" i="17" s="1"/>
  <c r="L740" i="17"/>
  <c r="N739" i="17"/>
  <c r="N737" i="17" s="1"/>
  <c r="M739" i="17"/>
  <c r="P739" i="17" s="1"/>
  <c r="L739" i="17"/>
  <c r="O739" i="17" s="1"/>
  <c r="N738" i="17"/>
  <c r="M738" i="17"/>
  <c r="L738" i="17"/>
  <c r="O738" i="17" s="1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K701" i="17" s="1"/>
  <c r="J700" i="17"/>
  <c r="I700" i="17"/>
  <c r="J699" i="17"/>
  <c r="I699" i="17"/>
  <c r="P697" i="17"/>
  <c r="O697" i="17"/>
  <c r="P696" i="17"/>
  <c r="O696" i="17"/>
  <c r="P695" i="17"/>
  <c r="O695" i="17"/>
  <c r="N695" i="17"/>
  <c r="M695" i="17"/>
  <c r="L695" i="17"/>
  <c r="N690" i="17"/>
  <c r="L690" i="17"/>
  <c r="N688" i="17"/>
  <c r="N687" i="17"/>
  <c r="N685" i="17" s="1"/>
  <c r="N686" i="17"/>
  <c r="M686" i="17"/>
  <c r="L686" i="17"/>
  <c r="O686" i="17" s="1"/>
  <c r="J679" i="17"/>
  <c r="J678" i="17" s="1"/>
  <c r="I678" i="17"/>
  <c r="K678" i="17" s="1"/>
  <c r="J675" i="17"/>
  <c r="J669" i="17" s="1"/>
  <c r="I671" i="17"/>
  <c r="K671" i="17" s="1"/>
  <c r="I670" i="17"/>
  <c r="K670" i="17" s="1"/>
  <c r="I669" i="17"/>
  <c r="P667" i="17"/>
  <c r="O667" i="17"/>
  <c r="P666" i="17"/>
  <c r="O666" i="17"/>
  <c r="N665" i="17"/>
  <c r="M665" i="17"/>
  <c r="P665" i="17" s="1"/>
  <c r="L665" i="17"/>
  <c r="O665" i="17" s="1"/>
  <c r="N660" i="17"/>
  <c r="N658" i="17" s="1"/>
  <c r="L660" i="17"/>
  <c r="L658" i="17" s="1"/>
  <c r="P659" i="17"/>
  <c r="O659" i="17"/>
  <c r="N657" i="17"/>
  <c r="P656" i="17"/>
  <c r="O656" i="17"/>
  <c r="N656" i="17"/>
  <c r="M656" i="17"/>
  <c r="L656" i="17"/>
  <c r="N655" i="17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P639" i="17"/>
  <c r="N639" i="17"/>
  <c r="M639" i="17"/>
  <c r="N634" i="17"/>
  <c r="N632" i="17" s="1"/>
  <c r="L634" i="17"/>
  <c r="P633" i="17"/>
  <c r="O633" i="17"/>
  <c r="N630" i="17"/>
  <c r="M630" i="17"/>
  <c r="P630" i="17" s="1"/>
  <c r="L630" i="17"/>
  <c r="O630" i="17" s="1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3" i="17" s="1"/>
  <c r="J596" i="17"/>
  <c r="J594" i="17" s="1"/>
  <c r="J595" i="17"/>
  <c r="I594" i="17"/>
  <c r="I593" i="17"/>
  <c r="I592" i="17" s="1"/>
  <c r="J583" i="17"/>
  <c r="J577" i="17" s="1"/>
  <c r="J582" i="17"/>
  <c r="J576" i="17" s="1"/>
  <c r="J559" i="17" s="1"/>
  <c r="J543" i="17" s="1"/>
  <c r="I577" i="17"/>
  <c r="I576" i="17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P557" i="17"/>
  <c r="L557" i="17"/>
  <c r="L555" i="17" s="1"/>
  <c r="O555" i="17" s="1"/>
  <c r="P556" i="17"/>
  <c r="O556" i="17"/>
  <c r="N555" i="17"/>
  <c r="N545" i="17" s="1"/>
  <c r="N544" i="17" s="1"/>
  <c r="M555" i="17"/>
  <c r="N549" i="17"/>
  <c r="L549" i="17"/>
  <c r="P548" i="17"/>
  <c r="O548" i="17"/>
  <c r="N547" i="17"/>
  <c r="N546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P535" i="17"/>
  <c r="L535" i="17"/>
  <c r="P534" i="17"/>
  <c r="O534" i="17"/>
  <c r="N533" i="17"/>
  <c r="M533" i="17"/>
  <c r="P533" i="17" s="1"/>
  <c r="P528" i="17"/>
  <c r="N528" i="17"/>
  <c r="L528" i="17"/>
  <c r="O528" i="17" s="1"/>
  <c r="P527" i="17"/>
  <c r="O527" i="17"/>
  <c r="P526" i="17"/>
  <c r="N526" i="17"/>
  <c r="M526" i="17"/>
  <c r="P525" i="17"/>
  <c r="N525" i="17"/>
  <c r="M525" i="17"/>
  <c r="P524" i="17"/>
  <c r="O524" i="17"/>
  <c r="N524" i="17"/>
  <c r="M524" i="17"/>
  <c r="L524" i="17"/>
  <c r="N523" i="17"/>
  <c r="M523" i="17"/>
  <c r="P523" i="17" s="1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O505" i="17"/>
  <c r="N505" i="17"/>
  <c r="M505" i="17"/>
  <c r="L505" i="17"/>
  <c r="O504" i="17"/>
  <c r="N504" i="17"/>
  <c r="M504" i="17"/>
  <c r="P504" i="17" s="1"/>
  <c r="L504" i="17"/>
  <c r="N503" i="17"/>
  <c r="M503" i="17"/>
  <c r="P503" i="17" s="1"/>
  <c r="L503" i="17"/>
  <c r="O503" i="17" s="1"/>
  <c r="M502" i="17"/>
  <c r="P502" i="17" s="1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N472" i="17"/>
  <c r="N470" i="17" s="1"/>
  <c r="L472" i="17"/>
  <c r="M472" i="17" s="1"/>
  <c r="P472" i="17" s="1"/>
  <c r="P471" i="17"/>
  <c r="O471" i="17"/>
  <c r="N469" i="17"/>
  <c r="O468" i="17"/>
  <c r="N468" i="17"/>
  <c r="N467" i="17" s="1"/>
  <c r="M468" i="17"/>
  <c r="P468" i="17" s="1"/>
  <c r="L468" i="17"/>
  <c r="J466" i="17"/>
  <c r="I466" i="17"/>
  <c r="J465" i="17"/>
  <c r="I465" i="17"/>
  <c r="K465" i="17" s="1"/>
  <c r="I464" i="17"/>
  <c r="I463" i="17"/>
  <c r="I462" i="17"/>
  <c r="I460" i="17"/>
  <c r="I442" i="17" s="1"/>
  <c r="K442" i="17" s="1"/>
  <c r="K458" i="17"/>
  <c r="P456" i="17"/>
  <c r="L456" i="17"/>
  <c r="O456" i="17" s="1"/>
  <c r="P455" i="17"/>
  <c r="O455" i="17"/>
  <c r="N454" i="17"/>
  <c r="M454" i="17"/>
  <c r="P454" i="17" s="1"/>
  <c r="N449" i="17"/>
  <c r="N447" i="17" s="1"/>
  <c r="L449" i="17"/>
  <c r="L447" i="17" s="1"/>
  <c r="P448" i="17"/>
  <c r="O448" i="17"/>
  <c r="N446" i="17"/>
  <c r="P445" i="17"/>
  <c r="O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J434" i="17"/>
  <c r="P431" i="17"/>
  <c r="L431" i="17"/>
  <c r="L429" i="17" s="1"/>
  <c r="O429" i="17" s="1"/>
  <c r="P430" i="17"/>
  <c r="O430" i="17"/>
  <c r="N429" i="17"/>
  <c r="M429" i="17"/>
  <c r="P429" i="17" s="1"/>
  <c r="N424" i="17"/>
  <c r="L424" i="17"/>
  <c r="M424" i="17" s="1"/>
  <c r="P424" i="17" s="1"/>
  <c r="P423" i="17"/>
  <c r="O423" i="17"/>
  <c r="N422" i="17"/>
  <c r="N421" i="17"/>
  <c r="P420" i="17"/>
  <c r="N420" i="17"/>
  <c r="N419" i="17" s="1"/>
  <c r="M420" i="17"/>
  <c r="L420" i="17"/>
  <c r="J418" i="17"/>
  <c r="K413" i="17"/>
  <c r="K412" i="17"/>
  <c r="N410" i="17"/>
  <c r="M410" i="17"/>
  <c r="L410" i="17"/>
  <c r="P409" i="17"/>
  <c r="O409" i="17"/>
  <c r="N407" i="17"/>
  <c r="N405" i="17" s="1"/>
  <c r="M407" i="17"/>
  <c r="L407" i="17"/>
  <c r="P406" i="17"/>
  <c r="O406" i="17"/>
  <c r="O403" i="17"/>
  <c r="N403" i="17"/>
  <c r="M403" i="17"/>
  <c r="P403" i="17" s="1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P396" i="17"/>
  <c r="O396" i="17"/>
  <c r="N394" i="17"/>
  <c r="M394" i="17"/>
  <c r="L394" i="17"/>
  <c r="O394" i="17" s="1"/>
  <c r="P393" i="17"/>
  <c r="O393" i="17"/>
  <c r="P390" i="17"/>
  <c r="N390" i="17"/>
  <c r="M390" i="17"/>
  <c r="L390" i="17"/>
  <c r="O390" i="17" s="1"/>
  <c r="J388" i="17"/>
  <c r="I388" i="17"/>
  <c r="K388" i="17" s="1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L353" i="17"/>
  <c r="L351" i="17" s="1"/>
  <c r="P352" i="17"/>
  <c r="O352" i="17"/>
  <c r="N350" i="17"/>
  <c r="N348" i="17" s="1"/>
  <c r="M350" i="17"/>
  <c r="L350" i="17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M336" i="17"/>
  <c r="L336" i="17"/>
  <c r="O336" i="17" s="1"/>
  <c r="P335" i="17"/>
  <c r="O335" i="17"/>
  <c r="N333" i="17"/>
  <c r="N331" i="17" s="1"/>
  <c r="M333" i="17"/>
  <c r="M331" i="17" s="1"/>
  <c r="L333" i="17"/>
  <c r="L331" i="17" s="1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P322" i="17"/>
  <c r="O322" i="17"/>
  <c r="N320" i="17"/>
  <c r="N318" i="17" s="1"/>
  <c r="M320" i="17"/>
  <c r="P320" i="17" s="1"/>
  <c r="L320" i="17"/>
  <c r="O320" i="17" s="1"/>
  <c r="P319" i="17"/>
  <c r="O319" i="17"/>
  <c r="N316" i="17"/>
  <c r="M316" i="17"/>
  <c r="P316" i="17" s="1"/>
  <c r="L316" i="17"/>
  <c r="O316" i="17" s="1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P306" i="17" s="1"/>
  <c r="L306" i="17"/>
  <c r="L304" i="17" s="1"/>
  <c r="O304" i="17" s="1"/>
  <c r="P305" i="17"/>
  <c r="O305" i="17"/>
  <c r="N303" i="17"/>
  <c r="M303" i="17"/>
  <c r="L303" i="17"/>
  <c r="L301" i="17" s="1"/>
  <c r="P302" i="17"/>
  <c r="O302" i="17"/>
  <c r="O299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N285" i="17"/>
  <c r="N283" i="17" s="1"/>
  <c r="M285" i="17"/>
  <c r="L285" i="17"/>
  <c r="L283" i="17" s="1"/>
  <c r="O283" i="17" s="1"/>
  <c r="P284" i="17"/>
  <c r="O284" i="17"/>
  <c r="N282" i="17"/>
  <c r="N280" i="17" s="1"/>
  <c r="M282" i="17"/>
  <c r="L282" i="17"/>
  <c r="P281" i="17"/>
  <c r="O281" i="17"/>
  <c r="P278" i="17"/>
  <c r="N278" i="17"/>
  <c r="M278" i="17"/>
  <c r="L278" i="17"/>
  <c r="J276" i="17"/>
  <c r="I271" i="17"/>
  <c r="N269" i="17"/>
  <c r="N267" i="17" s="1"/>
  <c r="M269" i="17"/>
  <c r="P269" i="17" s="1"/>
  <c r="L269" i="17"/>
  <c r="P268" i="17"/>
  <c r="O268" i="17"/>
  <c r="N266" i="17"/>
  <c r="M266" i="17"/>
  <c r="M264" i="17" s="1"/>
  <c r="L266" i="17"/>
  <c r="P265" i="17"/>
  <c r="O265" i="17"/>
  <c r="O262" i="17"/>
  <c r="N262" i="17"/>
  <c r="M262" i="17"/>
  <c r="P262" i="17" s="1"/>
  <c r="L262" i="17"/>
  <c r="J260" i="17"/>
  <c r="K258" i="17"/>
  <c r="K257" i="17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J226" i="17" s="1"/>
  <c r="J180" i="17" s="1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K225" i="17" s="1"/>
  <c r="I224" i="17"/>
  <c r="I223" i="17"/>
  <c r="K223" i="17" s="1"/>
  <c r="L220" i="17"/>
  <c r="L219" i="17"/>
  <c r="L218" i="17"/>
  <c r="P217" i="17"/>
  <c r="N217" i="17"/>
  <c r="J216" i="17"/>
  <c r="I215" i="17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I190" i="17" s="1"/>
  <c r="P191" i="17"/>
  <c r="L191" i="17"/>
  <c r="O191" i="17" s="1"/>
  <c r="J190" i="17"/>
  <c r="N189" i="17"/>
  <c r="N187" i="17" s="1"/>
  <c r="M189" i="17"/>
  <c r="L189" i="17"/>
  <c r="P188" i="17"/>
  <c r="O188" i="17"/>
  <c r="N186" i="17"/>
  <c r="M186" i="17"/>
  <c r="M184" i="17" s="1"/>
  <c r="L186" i="17"/>
  <c r="P185" i="17"/>
  <c r="O185" i="17"/>
  <c r="O182" i="17"/>
  <c r="N182" i="17"/>
  <c r="M182" i="17"/>
  <c r="L182" i="17"/>
  <c r="J177" i="17"/>
  <c r="I176" i="17"/>
  <c r="K176" i="17" s="1"/>
  <c r="J174" i="17"/>
  <c r="J164" i="17" s="1"/>
  <c r="N173" i="17"/>
  <c r="M173" i="17"/>
  <c r="L173" i="17"/>
  <c r="P172" i="17"/>
  <c r="O172" i="17"/>
  <c r="N170" i="17"/>
  <c r="N168" i="17" s="1"/>
  <c r="M170" i="17"/>
  <c r="L170" i="17"/>
  <c r="P169" i="17"/>
  <c r="O169" i="17"/>
  <c r="N166" i="17"/>
  <c r="M166" i="17"/>
  <c r="L166" i="17"/>
  <c r="I159" i="17"/>
  <c r="I148" i="17" s="1"/>
  <c r="N157" i="17"/>
  <c r="N155" i="17" s="1"/>
  <c r="M157" i="17"/>
  <c r="P157" i="17" s="1"/>
  <c r="L157" i="17"/>
  <c r="P156" i="17"/>
  <c r="O156" i="17"/>
  <c r="N154" i="17"/>
  <c r="M154" i="17"/>
  <c r="M152" i="17" s="1"/>
  <c r="L154" i="17"/>
  <c r="L152" i="17" s="1"/>
  <c r="P153" i="17"/>
  <c r="O153" i="17"/>
  <c r="O150" i="17"/>
  <c r="N150" i="17"/>
  <c r="M150" i="17"/>
  <c r="P150" i="17" s="1"/>
  <c r="L150" i="17"/>
  <c r="J148" i="17"/>
  <c r="I146" i="17"/>
  <c r="I145" i="17"/>
  <c r="I143" i="17" s="1"/>
  <c r="I144" i="17"/>
  <c r="K144" i="17" s="1"/>
  <c r="N140" i="17"/>
  <c r="M140" i="17"/>
  <c r="P140" i="17" s="1"/>
  <c r="L140" i="17"/>
  <c r="P139" i="17"/>
  <c r="O139" i="17"/>
  <c r="N137" i="17"/>
  <c r="N135" i="17" s="1"/>
  <c r="M137" i="17"/>
  <c r="L137" i="17"/>
  <c r="O137" i="17" s="1"/>
  <c r="P136" i="17"/>
  <c r="O136" i="17"/>
  <c r="P133" i="17"/>
  <c r="N133" i="17"/>
  <c r="M133" i="17"/>
  <c r="L133" i="17"/>
  <c r="J130" i="17"/>
  <c r="N127" i="17"/>
  <c r="N125" i="17" s="1"/>
  <c r="M127" i="17"/>
  <c r="L127" i="17"/>
  <c r="L125" i="17" s="1"/>
  <c r="O125" i="17" s="1"/>
  <c r="P126" i="17"/>
  <c r="O126" i="17"/>
  <c r="N124" i="17"/>
  <c r="N122" i="17" s="1"/>
  <c r="M124" i="17"/>
  <c r="L124" i="17"/>
  <c r="P123" i="17"/>
  <c r="O123" i="17"/>
  <c r="O120" i="17"/>
  <c r="N120" i="17"/>
  <c r="M120" i="17"/>
  <c r="P120" i="17" s="1"/>
  <c r="L120" i="17"/>
  <c r="J118" i="17"/>
  <c r="K118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I87" i="17" s="1"/>
  <c r="J98" i="17"/>
  <c r="J86" i="17" s="1"/>
  <c r="I98" i="17"/>
  <c r="I86" i="17" s="1"/>
  <c r="N96" i="17"/>
  <c r="N94" i="17" s="1"/>
  <c r="M96" i="17"/>
  <c r="L96" i="17"/>
  <c r="L94" i="17" s="1"/>
  <c r="O94" i="17" s="1"/>
  <c r="P95" i="17"/>
  <c r="O95" i="17"/>
  <c r="N93" i="17"/>
  <c r="N91" i="17" s="1"/>
  <c r="M93" i="17"/>
  <c r="M91" i="17" s="1"/>
  <c r="L93" i="17"/>
  <c r="L91" i="17" s="1"/>
  <c r="P92" i="17"/>
  <c r="O92" i="17"/>
  <c r="O89" i="17"/>
  <c r="N89" i="17"/>
  <c r="M89" i="17"/>
  <c r="P89" i="17" s="1"/>
  <c r="L89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65" i="17" s="1"/>
  <c r="J76" i="17"/>
  <c r="N74" i="17"/>
  <c r="N72" i="17" s="1"/>
  <c r="M74" i="17"/>
  <c r="M72" i="17" s="1"/>
  <c r="P72" i="17" s="1"/>
  <c r="L74" i="17"/>
  <c r="O74" i="17" s="1"/>
  <c r="P73" i="17"/>
  <c r="O73" i="17"/>
  <c r="N71" i="17"/>
  <c r="M71" i="17"/>
  <c r="L71" i="17"/>
  <c r="P70" i="17"/>
  <c r="O70" i="17"/>
  <c r="O67" i="17"/>
  <c r="N67" i="17"/>
  <c r="M67" i="17"/>
  <c r="P67" i="17" s="1"/>
  <c r="L67" i="17"/>
  <c r="J64" i="17"/>
  <c r="N61" i="17"/>
  <c r="N59" i="17" s="1"/>
  <c r="M61" i="17"/>
  <c r="L61" i="17"/>
  <c r="L59" i="17" s="1"/>
  <c r="O59" i="17" s="1"/>
  <c r="P60" i="17"/>
  <c r="O60" i="17"/>
  <c r="N58" i="17"/>
  <c r="N56" i="17" s="1"/>
  <c r="M58" i="17"/>
  <c r="M56" i="17" s="1"/>
  <c r="L58" i="17"/>
  <c r="P57" i="17"/>
  <c r="O57" i="17"/>
  <c r="P54" i="17"/>
  <c r="O54" i="17"/>
  <c r="N54" i="17"/>
  <c r="M54" i="17"/>
  <c r="L54" i="17"/>
  <c r="N49" i="17"/>
  <c r="N47" i="17" s="1"/>
  <c r="M49" i="17"/>
  <c r="M47" i="17" s="1"/>
  <c r="P47" i="17" s="1"/>
  <c r="L49" i="17"/>
  <c r="O49" i="17" s="1"/>
  <c r="P48" i="17"/>
  <c r="O48" i="17"/>
  <c r="N46" i="17"/>
  <c r="N44" i="17" s="1"/>
  <c r="M46" i="17"/>
  <c r="M44" i="17" s="1"/>
  <c r="L46" i="17"/>
  <c r="P45" i="17"/>
  <c r="O45" i="17"/>
  <c r="P42" i="17"/>
  <c r="O42" i="17"/>
  <c r="N42" i="17"/>
  <c r="M42" i="17"/>
  <c r="L42" i="17"/>
  <c r="P36" i="17"/>
  <c r="N36" i="17"/>
  <c r="M36" i="17"/>
  <c r="P35" i="17"/>
  <c r="O35" i="17"/>
  <c r="N35" i="17"/>
  <c r="M35" i="17"/>
  <c r="L35" i="17"/>
  <c r="P34" i="17"/>
  <c r="N34" i="17"/>
  <c r="M34" i="17"/>
  <c r="N33" i="17"/>
  <c r="N30" i="17" s="1"/>
  <c r="N32" i="17"/>
  <c r="N29" i="17" s="1"/>
  <c r="N28" i="17" s="1"/>
  <c r="M32" i="17"/>
  <c r="L32" i="17"/>
  <c r="L29" i="17" s="1"/>
  <c r="N25" i="17"/>
  <c r="M25" i="17"/>
  <c r="M19" i="17" s="1"/>
  <c r="L25" i="17"/>
  <c r="L15" i="17" s="1"/>
  <c r="P22" i="17"/>
  <c r="N22" i="17"/>
  <c r="N19" i="17" s="1"/>
  <c r="M22" i="17"/>
  <c r="L22" i="17"/>
  <c r="L19" i="17" s="1"/>
  <c r="N15" i="17"/>
  <c r="M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N808" i="16"/>
  <c r="M808" i="16"/>
  <c r="P808" i="16" s="1"/>
  <c r="L808" i="16"/>
  <c r="O808" i="16" s="1"/>
  <c r="N807" i="16"/>
  <c r="M807" i="16"/>
  <c r="P807" i="16" s="1"/>
  <c r="L807" i="16"/>
  <c r="O807" i="16" s="1"/>
  <c r="P806" i="16"/>
  <c r="N806" i="16"/>
  <c r="M806" i="16"/>
  <c r="L806" i="16"/>
  <c r="N805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L791" i="16"/>
  <c r="O791" i="16" s="1"/>
  <c r="P790" i="16"/>
  <c r="O790" i="16"/>
  <c r="M789" i="16"/>
  <c r="P789" i="16" s="1"/>
  <c r="M788" i="16"/>
  <c r="P788" i="16" s="1"/>
  <c r="P787" i="16"/>
  <c r="N787" i="16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N773" i="16" s="1"/>
  <c r="P774" i="16"/>
  <c r="O774" i="16"/>
  <c r="O773" i="16"/>
  <c r="M773" i="16"/>
  <c r="P773" i="16" s="1"/>
  <c r="L773" i="16"/>
  <c r="N772" i="16"/>
  <c r="M772" i="16"/>
  <c r="P772" i="16" s="1"/>
  <c r="L772" i="16"/>
  <c r="O772" i="16" s="1"/>
  <c r="N771" i="16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N757" i="16" s="1"/>
  <c r="P758" i="16"/>
  <c r="O758" i="16"/>
  <c r="O757" i="16"/>
  <c r="M757" i="16"/>
  <c r="P757" i="16" s="1"/>
  <c r="L757" i="16"/>
  <c r="N756" i="16"/>
  <c r="M756" i="16"/>
  <c r="P756" i="16" s="1"/>
  <c r="L756" i="16"/>
  <c r="O756" i="16" s="1"/>
  <c r="N755" i="16"/>
  <c r="N754" i="16" s="1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N740" i="16" s="1"/>
  <c r="P741" i="16"/>
  <c r="O741" i="16"/>
  <c r="O740" i="16"/>
  <c r="M740" i="16"/>
  <c r="P740" i="16" s="1"/>
  <c r="L740" i="16"/>
  <c r="N739" i="16"/>
  <c r="M739" i="16"/>
  <c r="P739" i="16" s="1"/>
  <c r="L739" i="16"/>
  <c r="O739" i="16" s="1"/>
  <c r="N738" i="16"/>
  <c r="N737" i="16" s="1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O695" i="16"/>
  <c r="N695" i="16"/>
  <c r="M695" i="16"/>
  <c r="L695" i="16"/>
  <c r="N690" i="16"/>
  <c r="L690" i="16"/>
  <c r="N687" i="16"/>
  <c r="N686" i="16"/>
  <c r="N685" i="16" s="1"/>
  <c r="M686" i="16"/>
  <c r="L686" i="16"/>
  <c r="O686" i="16" s="1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P667" i="16"/>
  <c r="O667" i="16"/>
  <c r="P666" i="16"/>
  <c r="O666" i="16"/>
  <c r="N665" i="16"/>
  <c r="M665" i="16"/>
  <c r="P665" i="16" s="1"/>
  <c r="L665" i="16"/>
  <c r="O665" i="16" s="1"/>
  <c r="P660" i="16"/>
  <c r="N660" i="16"/>
  <c r="L660" i="16"/>
  <c r="O660" i="16" s="1"/>
  <c r="P659" i="16"/>
  <c r="O659" i="16"/>
  <c r="P658" i="16"/>
  <c r="N658" i="16"/>
  <c r="M658" i="16"/>
  <c r="P657" i="16"/>
  <c r="N657" i="16"/>
  <c r="M657" i="16"/>
  <c r="P656" i="16"/>
  <c r="O656" i="16"/>
  <c r="N656" i="16"/>
  <c r="N655" i="16" s="1"/>
  <c r="M656" i="16"/>
  <c r="M655" i="16" s="1"/>
  <c r="P655" i="16" s="1"/>
  <c r="L656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N639" i="16"/>
  <c r="M639" i="16"/>
  <c r="P639" i="16" s="1"/>
  <c r="N634" i="16"/>
  <c r="N632" i="16" s="1"/>
  <c r="L634" i="16"/>
  <c r="P633" i="16"/>
  <c r="O633" i="16"/>
  <c r="N631" i="16"/>
  <c r="N630" i="16"/>
  <c r="N629" i="16" s="1"/>
  <c r="M630" i="16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4" i="16"/>
  <c r="I594" i="16"/>
  <c r="J593" i="16"/>
  <c r="I593" i="16"/>
  <c r="I592" i="16" s="1"/>
  <c r="J592" i="16"/>
  <c r="J583" i="16"/>
  <c r="J577" i="16" s="1"/>
  <c r="J582" i="16"/>
  <c r="J576" i="16" s="1"/>
  <c r="J559" i="16" s="1"/>
  <c r="I577" i="16"/>
  <c r="K577" i="16" s="1"/>
  <c r="I576" i="16"/>
  <c r="K576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P555" i="16"/>
  <c r="N555" i="16"/>
  <c r="M555" i="16"/>
  <c r="M545" i="16" s="1"/>
  <c r="P545" i="16" s="1"/>
  <c r="N549" i="16"/>
  <c r="L549" i="16"/>
  <c r="P548" i="16"/>
  <c r="O548" i="16"/>
  <c r="N547" i="16"/>
  <c r="N546" i="16"/>
  <c r="N545" i="16"/>
  <c r="N544" i="16" s="1"/>
  <c r="L545" i="16"/>
  <c r="O545" i="16" s="1"/>
  <c r="J543" i="16"/>
  <c r="I542" i="16"/>
  <c r="K542" i="16" s="1"/>
  <c r="I541" i="16"/>
  <c r="K541" i="16" s="1"/>
  <c r="I540" i="16"/>
  <c r="K540" i="16" s="1"/>
  <c r="I539" i="16"/>
  <c r="K539" i="16" s="1"/>
  <c r="I538" i="16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L528" i="16"/>
  <c r="P527" i="16"/>
  <c r="O527" i="16"/>
  <c r="M526" i="16"/>
  <c r="P526" i="16" s="1"/>
  <c r="P525" i="16"/>
  <c r="M525" i="16"/>
  <c r="P524" i="16"/>
  <c r="N524" i="16"/>
  <c r="M524" i="16"/>
  <c r="M523" i="16" s="1"/>
  <c r="P523" i="16" s="1"/>
  <c r="L524" i="16"/>
  <c r="O524" i="16" s="1"/>
  <c r="K517" i="16"/>
  <c r="J517" i="16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5" i="16" s="1"/>
  <c r="P506" i="16"/>
  <c r="O506" i="16"/>
  <c r="P505" i="16"/>
  <c r="M505" i="16"/>
  <c r="L505" i="16"/>
  <c r="O505" i="16" s="1"/>
  <c r="O504" i="16"/>
  <c r="N504" i="16"/>
  <c r="M504" i="16"/>
  <c r="P504" i="16" s="1"/>
  <c r="L504" i="16"/>
  <c r="P503" i="16"/>
  <c r="N503" i="16"/>
  <c r="N502" i="16" s="1"/>
  <c r="M503" i="16"/>
  <c r="M502" i="16" s="1"/>
  <c r="P502" i="16" s="1"/>
  <c r="L503" i="16"/>
  <c r="O503" i="16" s="1"/>
  <c r="O502" i="16"/>
  <c r="L502" i="16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N472" i="16"/>
  <c r="L472" i="16"/>
  <c r="P471" i="16"/>
  <c r="O471" i="16"/>
  <c r="N470" i="16"/>
  <c r="N469" i="16"/>
  <c r="O468" i="16"/>
  <c r="N468" i="16"/>
  <c r="N467" i="16" s="1"/>
  <c r="M468" i="16"/>
  <c r="P468" i="16" s="1"/>
  <c r="L468" i="16"/>
  <c r="J466" i="16"/>
  <c r="I466" i="16"/>
  <c r="J465" i="16"/>
  <c r="I465" i="16"/>
  <c r="I464" i="16"/>
  <c r="I463" i="16"/>
  <c r="I462" i="16"/>
  <c r="K462" i="16" s="1"/>
  <c r="I460" i="16"/>
  <c r="K460" i="16" s="1"/>
  <c r="K458" i="16"/>
  <c r="P456" i="16"/>
  <c r="L456" i="16"/>
  <c r="O456" i="16" s="1"/>
  <c r="P455" i="16"/>
  <c r="O455" i="16"/>
  <c r="N454" i="16"/>
  <c r="M454" i="16"/>
  <c r="P454" i="16" s="1"/>
  <c r="P449" i="16"/>
  <c r="N449" i="16"/>
  <c r="N446" i="16" s="1"/>
  <c r="L449" i="16"/>
  <c r="L447" i="16" s="1"/>
  <c r="O447" i="16" s="1"/>
  <c r="P448" i="16"/>
  <c r="O448" i="16"/>
  <c r="N447" i="16"/>
  <c r="M447" i="16"/>
  <c r="P447" i="16" s="1"/>
  <c r="P446" i="16"/>
  <c r="M446" i="16"/>
  <c r="P445" i="16"/>
  <c r="O445" i="16"/>
  <c r="N445" i="16"/>
  <c r="M445" i="16"/>
  <c r="L445" i="16"/>
  <c r="N444" i="16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J434" i="16"/>
  <c r="P431" i="16"/>
  <c r="L431" i="16"/>
  <c r="O431" i="16" s="1"/>
  <c r="P430" i="16"/>
  <c r="O430" i="16"/>
  <c r="N429" i="16"/>
  <c r="M429" i="16"/>
  <c r="P429" i="16" s="1"/>
  <c r="N424" i="16"/>
  <c r="N422" i="16" s="1"/>
  <c r="L424" i="16"/>
  <c r="L422" i="16" s="1"/>
  <c r="O422" i="16" s="1"/>
  <c r="P423" i="16"/>
  <c r="O423" i="16"/>
  <c r="O420" i="16"/>
  <c r="N420" i="16"/>
  <c r="M420" i="16"/>
  <c r="P420" i="16" s="1"/>
  <c r="L420" i="16"/>
  <c r="J418" i="16"/>
  <c r="K413" i="16"/>
  <c r="K412" i="16"/>
  <c r="N410" i="16"/>
  <c r="N408" i="16" s="1"/>
  <c r="M410" i="16"/>
  <c r="P410" i="16" s="1"/>
  <c r="L410" i="16"/>
  <c r="P409" i="16"/>
  <c r="O409" i="16"/>
  <c r="N407" i="16"/>
  <c r="N405" i="16" s="1"/>
  <c r="M407" i="16"/>
  <c r="M405" i="16" s="1"/>
  <c r="P405" i="16" s="1"/>
  <c r="L407" i="16"/>
  <c r="L405" i="16" s="1"/>
  <c r="O405" i="16" s="1"/>
  <c r="P406" i="16"/>
  <c r="O406" i="16"/>
  <c r="O403" i="16"/>
  <c r="N403" i="16"/>
  <c r="M403" i="16"/>
  <c r="P403" i="16" s="1"/>
  <c r="L403" i="16"/>
  <c r="K401" i="16"/>
  <c r="J401" i="16"/>
  <c r="I401" i="16"/>
  <c r="K400" i="16"/>
  <c r="K399" i="16"/>
  <c r="N397" i="16"/>
  <c r="M397" i="16"/>
  <c r="P397" i="16" s="1"/>
  <c r="L397" i="16"/>
  <c r="P396" i="16"/>
  <c r="O396" i="16"/>
  <c r="N394" i="16"/>
  <c r="N392" i="16" s="1"/>
  <c r="M394" i="16"/>
  <c r="M392" i="16" s="1"/>
  <c r="P392" i="16" s="1"/>
  <c r="L394" i="16"/>
  <c r="O394" i="16" s="1"/>
  <c r="P393" i="16"/>
  <c r="O393" i="16"/>
  <c r="O390" i="16"/>
  <c r="N390" i="16"/>
  <c r="M390" i="16"/>
  <c r="P390" i="16" s="1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M350" i="16"/>
  <c r="M348" i="16" s="1"/>
  <c r="L350" i="16"/>
  <c r="L348" i="16" s="1"/>
  <c r="P349" i="16"/>
  <c r="O349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L336" i="16"/>
  <c r="O336" i="16" s="1"/>
  <c r="P335" i="16"/>
  <c r="O335" i="16"/>
  <c r="N333" i="16"/>
  <c r="M333" i="16"/>
  <c r="M331" i="16" s="1"/>
  <c r="L333" i="16"/>
  <c r="L331" i="16" s="1"/>
  <c r="P332" i="16"/>
  <c r="O332" i="16"/>
  <c r="N329" i="16"/>
  <c r="M329" i="16"/>
  <c r="L329" i="16"/>
  <c r="O329" i="16" s="1"/>
  <c r="I327" i="16"/>
  <c r="I325" i="16"/>
  <c r="K325" i="16" s="1"/>
  <c r="N323" i="16"/>
  <c r="N321" i="16" s="1"/>
  <c r="M323" i="16"/>
  <c r="L323" i="16"/>
  <c r="L321" i="16" s="1"/>
  <c r="O321" i="16" s="1"/>
  <c r="P322" i="16"/>
  <c r="O322" i="16"/>
  <c r="N320" i="16"/>
  <c r="M320" i="16"/>
  <c r="M318" i="16" s="1"/>
  <c r="P318" i="16" s="1"/>
  <c r="L320" i="16"/>
  <c r="O320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P305" i="16"/>
  <c r="O305" i="16"/>
  <c r="N303" i="16"/>
  <c r="M303" i="16"/>
  <c r="M301" i="16" s="1"/>
  <c r="L303" i="16"/>
  <c r="L301" i="16" s="1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P284" i="16"/>
  <c r="O284" i="16"/>
  <c r="N282" i="16"/>
  <c r="M282" i="16"/>
  <c r="M280" i="16" s="1"/>
  <c r="L282" i="16"/>
  <c r="L280" i="16" s="1"/>
  <c r="P281" i="16"/>
  <c r="O281" i="16"/>
  <c r="O278" i="16"/>
  <c r="N278" i="16"/>
  <c r="M278" i="16"/>
  <c r="P278" i="16" s="1"/>
  <c r="L278" i="16"/>
  <c r="J276" i="16"/>
  <c r="I271" i="16"/>
  <c r="K271" i="16" s="1"/>
  <c r="N269" i="16"/>
  <c r="N267" i="16" s="1"/>
  <c r="M269" i="16"/>
  <c r="L269" i="16"/>
  <c r="L267" i="16" s="1"/>
  <c r="O267" i="16" s="1"/>
  <c r="P268" i="16"/>
  <c r="O268" i="16"/>
  <c r="N266" i="16"/>
  <c r="N264" i="16" s="1"/>
  <c r="M266" i="16"/>
  <c r="L266" i="16"/>
  <c r="L264" i="16" s="1"/>
  <c r="P265" i="16"/>
  <c r="O265" i="16"/>
  <c r="N262" i="16"/>
  <c r="M262" i="16"/>
  <c r="L262" i="16"/>
  <c r="O262" i="16" s="1"/>
  <c r="J260" i="16"/>
  <c r="K258" i="16"/>
  <c r="K257" i="16"/>
  <c r="L253" i="16"/>
  <c r="L252" i="16"/>
  <c r="L251" i="16"/>
  <c r="L250" i="16"/>
  <c r="P249" i="16"/>
  <c r="N249" i="16"/>
  <c r="J248" i="16"/>
  <c r="K247" i="16"/>
  <c r="K246" i="16"/>
  <c r="I244" i="16"/>
  <c r="I237" i="16" s="1"/>
  <c r="L242" i="16"/>
  <c r="L241" i="16"/>
  <c r="L240" i="16"/>
  <c r="L239" i="16"/>
  <c r="P238" i="16"/>
  <c r="N238" i="16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J226" i="16"/>
  <c r="J180" i="16" s="1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P189" i="16" s="1"/>
  <c r="L189" i="16"/>
  <c r="L187" i="16" s="1"/>
  <c r="O187" i="16" s="1"/>
  <c r="P188" i="16"/>
  <c r="O188" i="16"/>
  <c r="N186" i="16"/>
  <c r="M186" i="16"/>
  <c r="M184" i="16" s="1"/>
  <c r="L186" i="16"/>
  <c r="L184" i="16" s="1"/>
  <c r="P185" i="16"/>
  <c r="O185" i="16"/>
  <c r="P182" i="16"/>
  <c r="N182" i="16"/>
  <c r="M182" i="16"/>
  <c r="L182" i="16"/>
  <c r="J177" i="16"/>
  <c r="I176" i="16"/>
  <c r="I174" i="16" s="1"/>
  <c r="J174" i="16"/>
  <c r="J164" i="16" s="1"/>
  <c r="N173" i="16"/>
  <c r="N171" i="16" s="1"/>
  <c r="M173" i="16"/>
  <c r="P173" i="16" s="1"/>
  <c r="L173" i="16"/>
  <c r="O173" i="16" s="1"/>
  <c r="P172" i="16"/>
  <c r="O172" i="16"/>
  <c r="N170" i="16"/>
  <c r="M170" i="16"/>
  <c r="L170" i="16"/>
  <c r="P169" i="16"/>
  <c r="O169" i="16"/>
  <c r="P166" i="16"/>
  <c r="N166" i="16"/>
  <c r="M166" i="16"/>
  <c r="L166" i="16"/>
  <c r="I159" i="16"/>
  <c r="K159" i="16" s="1"/>
  <c r="N157" i="16"/>
  <c r="N155" i="16" s="1"/>
  <c r="M157" i="16"/>
  <c r="L157" i="16"/>
  <c r="P156" i="16"/>
  <c r="O156" i="16"/>
  <c r="N154" i="16"/>
  <c r="N152" i="16" s="1"/>
  <c r="M154" i="16"/>
  <c r="L154" i="16"/>
  <c r="P153" i="16"/>
  <c r="O153" i="16"/>
  <c r="N150" i="16"/>
  <c r="M150" i="16"/>
  <c r="P150" i="16" s="1"/>
  <c r="L150" i="16"/>
  <c r="O150" i="16" s="1"/>
  <c r="J148" i="16"/>
  <c r="I146" i="16"/>
  <c r="I145" i="16"/>
  <c r="K145" i="16" s="1"/>
  <c r="I144" i="16"/>
  <c r="K144" i="16" s="1"/>
  <c r="N140" i="16"/>
  <c r="M140" i="16"/>
  <c r="L140" i="16"/>
  <c r="O140" i="16" s="1"/>
  <c r="P139" i="16"/>
  <c r="O139" i="16"/>
  <c r="N137" i="16"/>
  <c r="N135" i="16" s="1"/>
  <c r="M137" i="16"/>
  <c r="P137" i="16" s="1"/>
  <c r="L137" i="16"/>
  <c r="P136" i="16"/>
  <c r="O136" i="16"/>
  <c r="O133" i="16"/>
  <c r="N133" i="16"/>
  <c r="M133" i="16"/>
  <c r="L133" i="16"/>
  <c r="J130" i="16"/>
  <c r="N127" i="16"/>
  <c r="N125" i="16" s="1"/>
  <c r="M127" i="16"/>
  <c r="L127" i="16"/>
  <c r="O127" i="16" s="1"/>
  <c r="P126" i="16"/>
  <c r="O126" i="16"/>
  <c r="N124" i="16"/>
  <c r="N122" i="16" s="1"/>
  <c r="M124" i="16"/>
  <c r="L124" i="16"/>
  <c r="L122" i="16" s="1"/>
  <c r="O122" i="16" s="1"/>
  <c r="P123" i="16"/>
  <c r="O123" i="16"/>
  <c r="P120" i="16"/>
  <c r="N120" i="16"/>
  <c r="M120" i="16"/>
  <c r="L120" i="16"/>
  <c r="O120" i="16" s="1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K99" i="16" s="1"/>
  <c r="J98" i="16"/>
  <c r="I98" i="16"/>
  <c r="N96" i="16"/>
  <c r="N94" i="16" s="1"/>
  <c r="M96" i="16"/>
  <c r="P96" i="16" s="1"/>
  <c r="L96" i="16"/>
  <c r="O96" i="16" s="1"/>
  <c r="P95" i="16"/>
  <c r="O95" i="16"/>
  <c r="N93" i="16"/>
  <c r="M93" i="16"/>
  <c r="M91" i="16" s="1"/>
  <c r="L93" i="16"/>
  <c r="L91" i="16" s="1"/>
  <c r="P92" i="16"/>
  <c r="O92" i="16"/>
  <c r="P89" i="16"/>
  <c r="N89" i="16"/>
  <c r="M89" i="16"/>
  <c r="L89" i="16"/>
  <c r="J87" i="16"/>
  <c r="J86" i="16"/>
  <c r="I84" i="16"/>
  <c r="K84" i="16" s="1"/>
  <c r="I83" i="16"/>
  <c r="K83" i="16" s="1"/>
  <c r="I82" i="16"/>
  <c r="K82" i="16" s="1"/>
  <c r="I81" i="16"/>
  <c r="I80" i="16"/>
  <c r="K80" i="16" s="1"/>
  <c r="I79" i="16"/>
  <c r="K79" i="16" s="1"/>
  <c r="I78" i="16"/>
  <c r="J77" i="16"/>
  <c r="J76" i="16"/>
  <c r="J64" i="16" s="1"/>
  <c r="N74" i="16"/>
  <c r="N72" i="16" s="1"/>
  <c r="M74" i="16"/>
  <c r="L74" i="16"/>
  <c r="O74" i="16" s="1"/>
  <c r="P73" i="16"/>
  <c r="O73" i="16"/>
  <c r="N71" i="16"/>
  <c r="M71" i="16"/>
  <c r="M69" i="16" s="1"/>
  <c r="P69" i="16" s="1"/>
  <c r="L71" i="16"/>
  <c r="O71" i="16" s="1"/>
  <c r="P70" i="16"/>
  <c r="O70" i="16"/>
  <c r="P67" i="16"/>
  <c r="O67" i="16"/>
  <c r="N67" i="16"/>
  <c r="M67" i="16"/>
  <c r="L67" i="16"/>
  <c r="J65" i="16"/>
  <c r="N61" i="16"/>
  <c r="M61" i="16"/>
  <c r="M59" i="16" s="1"/>
  <c r="L61" i="16"/>
  <c r="L59" i="16" s="1"/>
  <c r="P60" i="16"/>
  <c r="O60" i="16"/>
  <c r="N58" i="16"/>
  <c r="N56" i="16" s="1"/>
  <c r="M58" i="16"/>
  <c r="M56" i="16" s="1"/>
  <c r="L58" i="16"/>
  <c r="L56" i="16" s="1"/>
  <c r="P57" i="16"/>
  <c r="O57" i="16"/>
  <c r="P54" i="16"/>
  <c r="O54" i="16"/>
  <c r="N54" i="16"/>
  <c r="M54" i="16"/>
  <c r="L54" i="16"/>
  <c r="N49" i="16"/>
  <c r="M49" i="16"/>
  <c r="P49" i="16" s="1"/>
  <c r="L49" i="16"/>
  <c r="P48" i="16"/>
  <c r="O48" i="16"/>
  <c r="N46" i="16"/>
  <c r="N44" i="16" s="1"/>
  <c r="M46" i="16"/>
  <c r="L46" i="16"/>
  <c r="P45" i="16"/>
  <c r="O45" i="16"/>
  <c r="P42" i="16"/>
  <c r="N42" i="16"/>
  <c r="M42" i="16"/>
  <c r="L42" i="16"/>
  <c r="O42" i="16" s="1"/>
  <c r="N36" i="16"/>
  <c r="N34" i="16" s="1"/>
  <c r="M36" i="16"/>
  <c r="P36" i="16" s="1"/>
  <c r="N35" i="16"/>
  <c r="M35" i="16"/>
  <c r="L35" i="16"/>
  <c r="O35" i="16" s="1"/>
  <c r="N33" i="16"/>
  <c r="P32" i="16"/>
  <c r="O32" i="16"/>
  <c r="N32" i="16"/>
  <c r="M32" i="16"/>
  <c r="L32" i="16"/>
  <c r="N31" i="16"/>
  <c r="N29" i="16"/>
  <c r="M29" i="16"/>
  <c r="L29" i="16"/>
  <c r="O29" i="16" s="1"/>
  <c r="P25" i="16"/>
  <c r="O25" i="16"/>
  <c r="N25" i="16"/>
  <c r="M25" i="16"/>
  <c r="L25" i="16"/>
  <c r="N22" i="16"/>
  <c r="N19" i="16" s="1"/>
  <c r="M22" i="16"/>
  <c r="L22" i="16"/>
  <c r="O22" i="16" s="1"/>
  <c r="N15" i="16"/>
  <c r="M15" i="16"/>
  <c r="L15" i="16"/>
  <c r="O15" i="16" s="1"/>
  <c r="N12" i="16"/>
  <c r="N9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P807" i="15" s="1"/>
  <c r="L807" i="15"/>
  <c r="O807" i="15" s="1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N789" i="15"/>
  <c r="M789" i="15"/>
  <c r="P789" i="15" s="1"/>
  <c r="M788" i="15"/>
  <c r="P788" i="15" s="1"/>
  <c r="P787" i="15"/>
  <c r="N787" i="15"/>
  <c r="M787" i="15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N773" i="15" s="1"/>
  <c r="P774" i="15"/>
  <c r="O774" i="15"/>
  <c r="O773" i="15"/>
  <c r="M773" i="15"/>
  <c r="P773" i="15" s="1"/>
  <c r="L773" i="15"/>
  <c r="N772" i="15"/>
  <c r="N770" i="15" s="1"/>
  <c r="M772" i="15"/>
  <c r="P772" i="15" s="1"/>
  <c r="L772" i="15"/>
  <c r="O772" i="15" s="1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N757" i="15" s="1"/>
  <c r="P758" i="15"/>
  <c r="O758" i="15"/>
  <c r="O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N740" i="15" s="1"/>
  <c r="P741" i="15"/>
  <c r="O741" i="15"/>
  <c r="O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O690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N657" i="15" s="1"/>
  <c r="L660" i="15"/>
  <c r="L658" i="15" s="1"/>
  <c r="O658" i="15" s="1"/>
  <c r="P659" i="15"/>
  <c r="O659" i="15"/>
  <c r="P658" i="15"/>
  <c r="N658" i="15"/>
  <c r="M658" i="15"/>
  <c r="P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N634" i="15"/>
  <c r="L634" i="15"/>
  <c r="P633" i="15"/>
  <c r="O633" i="15"/>
  <c r="N632" i="15"/>
  <c r="N631" i="15"/>
  <c r="P630" i="15"/>
  <c r="N630" i="15"/>
  <c r="M630" i="15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594" i="15" s="1"/>
  <c r="J603" i="15"/>
  <c r="J596" i="15"/>
  <c r="J595" i="15"/>
  <c r="J593" i="15" s="1"/>
  <c r="J592" i="15" s="1"/>
  <c r="I594" i="15"/>
  <c r="I593" i="15"/>
  <c r="J583" i="15"/>
  <c r="J582" i="15"/>
  <c r="J577" i="15"/>
  <c r="I577" i="15"/>
  <c r="K577" i="15" s="1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P557" i="15"/>
  <c r="L557" i="15"/>
  <c r="O557" i="15" s="1"/>
  <c r="P556" i="15"/>
  <c r="O556" i="15"/>
  <c r="P555" i="15"/>
  <c r="N555" i="15"/>
  <c r="M555" i="15"/>
  <c r="N549" i="15"/>
  <c r="L549" i="15"/>
  <c r="L547" i="15" s="1"/>
  <c r="P548" i="15"/>
  <c r="O548" i="15"/>
  <c r="N546" i="15"/>
  <c r="P545" i="15"/>
  <c r="N545" i="15"/>
  <c r="N544" i="15" s="1"/>
  <c r="M545" i="15"/>
  <c r="L545" i="15"/>
  <c r="O545" i="15" s="1"/>
  <c r="J543" i="15"/>
  <c r="I542" i="15"/>
  <c r="K542" i="15" s="1"/>
  <c r="I541" i="15"/>
  <c r="K541" i="15" s="1"/>
  <c r="I540" i="15"/>
  <c r="K540" i="15" s="1"/>
  <c r="I539" i="15"/>
  <c r="I538" i="15"/>
  <c r="K538" i="15" s="1"/>
  <c r="I537" i="15"/>
  <c r="K537" i="15" s="1"/>
  <c r="P535" i="15"/>
  <c r="L535" i="15"/>
  <c r="L533" i="15" s="1"/>
  <c r="O533" i="15" s="1"/>
  <c r="P534" i="15"/>
  <c r="O534" i="15"/>
  <c r="N533" i="15"/>
  <c r="M533" i="15"/>
  <c r="P533" i="15" s="1"/>
  <c r="P528" i="15"/>
  <c r="N528" i="15"/>
  <c r="N525" i="15" s="1"/>
  <c r="L528" i="15"/>
  <c r="O528" i="15" s="1"/>
  <c r="P527" i="15"/>
  <c r="O527" i="15"/>
  <c r="P526" i="15"/>
  <c r="N526" i="15"/>
  <c r="M526" i="15"/>
  <c r="M525" i="15"/>
  <c r="P525" i="15" s="1"/>
  <c r="P524" i="15"/>
  <c r="N524" i="15"/>
  <c r="N523" i="15" s="1"/>
  <c r="M524" i="15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N504" i="15" s="1"/>
  <c r="N502" i="15" s="1"/>
  <c r="P506" i="15"/>
  <c r="O506" i="15"/>
  <c r="P505" i="15"/>
  <c r="N505" i="15"/>
  <c r="M505" i="15"/>
  <c r="L505" i="15"/>
  <c r="O505" i="15" s="1"/>
  <c r="O504" i="15"/>
  <c r="M504" i="15"/>
  <c r="L504" i="15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2" i="15"/>
  <c r="N470" i="15" s="1"/>
  <c r="L472" i="15"/>
  <c r="M472" i="15" s="1"/>
  <c r="P471" i="15"/>
  <c r="O471" i="15"/>
  <c r="N469" i="15"/>
  <c r="N467" i="15" s="1"/>
  <c r="N414" i="15" s="1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I443" i="15" s="1"/>
  <c r="K443" i="15" s="1"/>
  <c r="I460" i="15"/>
  <c r="K458" i="15"/>
  <c r="P456" i="15"/>
  <c r="L456" i="15"/>
  <c r="P455" i="15"/>
  <c r="O455" i="15"/>
  <c r="N454" i="15"/>
  <c r="M454" i="15"/>
  <c r="P454" i="15" s="1"/>
  <c r="N449" i="15"/>
  <c r="L449" i="15"/>
  <c r="O449" i="15" s="1"/>
  <c r="P448" i="15"/>
  <c r="O448" i="15"/>
  <c r="N447" i="15"/>
  <c r="N446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P431" i="15"/>
  <c r="L431" i="15"/>
  <c r="P430" i="15"/>
  <c r="O430" i="15"/>
  <c r="P429" i="15"/>
  <c r="N429" i="15"/>
  <c r="M429" i="15"/>
  <c r="N424" i="15"/>
  <c r="L424" i="15"/>
  <c r="L422" i="15" s="1"/>
  <c r="P423" i="15"/>
  <c r="O423" i="15"/>
  <c r="N421" i="15"/>
  <c r="P420" i="15"/>
  <c r="N420" i="15"/>
  <c r="N419" i="15" s="1"/>
  <c r="M420" i="15"/>
  <c r="L420" i="15"/>
  <c r="O420" i="15" s="1"/>
  <c r="J418" i="15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N407" i="15"/>
  <c r="N405" i="15" s="1"/>
  <c r="M407" i="15"/>
  <c r="P407" i="15" s="1"/>
  <c r="L407" i="15"/>
  <c r="L405" i="15" s="1"/>
  <c r="O405" i="15" s="1"/>
  <c r="P406" i="15"/>
  <c r="O406" i="15"/>
  <c r="P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O394" i="15" s="1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L350" i="15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N331" i="15" s="1"/>
  <c r="M333" i="15"/>
  <c r="M331" i="15" s="1"/>
  <c r="L333" i="15"/>
  <c r="L331" i="15" s="1"/>
  <c r="P332" i="15"/>
  <c r="O332" i="15"/>
  <c r="N329" i="15"/>
  <c r="M329" i="15"/>
  <c r="L329" i="15"/>
  <c r="O329" i="15" s="1"/>
  <c r="I327" i="15"/>
  <c r="I325" i="15"/>
  <c r="K325" i="15" s="1"/>
  <c r="N323" i="15"/>
  <c r="N321" i="15" s="1"/>
  <c r="M323" i="15"/>
  <c r="M321" i="15" s="1"/>
  <c r="P321" i="15" s="1"/>
  <c r="L323" i="15"/>
  <c r="L321" i="15" s="1"/>
  <c r="O321" i="15" s="1"/>
  <c r="P322" i="15"/>
  <c r="O322" i="15"/>
  <c r="N320" i="15"/>
  <c r="M320" i="15"/>
  <c r="L320" i="15"/>
  <c r="P319" i="15"/>
  <c r="O319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L304" i="15" s="1"/>
  <c r="O304" i="15" s="1"/>
  <c r="P305" i="15"/>
  <c r="O305" i="15"/>
  <c r="N303" i="15"/>
  <c r="M303" i="15"/>
  <c r="M301" i="15" s="1"/>
  <c r="L303" i="15"/>
  <c r="L301" i="15" s="1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M283" i="15" s="1"/>
  <c r="P283" i="15" s="1"/>
  <c r="L285" i="15"/>
  <c r="L283" i="15" s="1"/>
  <c r="O283" i="15" s="1"/>
  <c r="P284" i="15"/>
  <c r="O284" i="15"/>
  <c r="N282" i="15"/>
  <c r="N280" i="15" s="1"/>
  <c r="M282" i="15"/>
  <c r="M280" i="15" s="1"/>
  <c r="P280" i="15" s="1"/>
  <c r="L282" i="15"/>
  <c r="O282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L267" i="15" s="1"/>
  <c r="O267" i="15" s="1"/>
  <c r="P268" i="15"/>
  <c r="O268" i="15"/>
  <c r="N266" i="15"/>
  <c r="M266" i="15"/>
  <c r="M264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N184" i="15" s="1"/>
  <c r="M186" i="15"/>
  <c r="L186" i="15"/>
  <c r="P185" i="15"/>
  <c r="O185" i="15"/>
  <c r="N182" i="15"/>
  <c r="M182" i="15"/>
  <c r="P182" i="15" s="1"/>
  <c r="L182" i="15"/>
  <c r="J177" i="15"/>
  <c r="I176" i="15"/>
  <c r="I174" i="15" s="1"/>
  <c r="I164" i="15" s="1"/>
  <c r="K164" i="15" s="1"/>
  <c r="J174" i="15"/>
  <c r="N173" i="15"/>
  <c r="N171" i="15" s="1"/>
  <c r="M173" i="15"/>
  <c r="P173" i="15" s="1"/>
  <c r="L173" i="15"/>
  <c r="P172" i="15"/>
  <c r="O172" i="15"/>
  <c r="N170" i="15"/>
  <c r="M170" i="15"/>
  <c r="M168" i="15" s="1"/>
  <c r="L170" i="15"/>
  <c r="P169" i="15"/>
  <c r="O169" i="15"/>
  <c r="N166" i="15"/>
  <c r="M166" i="15"/>
  <c r="P166" i="15" s="1"/>
  <c r="L166" i="15"/>
  <c r="J164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P154" i="15" s="1"/>
  <c r="L154" i="15"/>
  <c r="O154" i="15" s="1"/>
  <c r="P153" i="15"/>
  <c r="O153" i="15"/>
  <c r="N150" i="15"/>
  <c r="M150" i="15"/>
  <c r="P150" i="15" s="1"/>
  <c r="L150" i="15"/>
  <c r="O150" i="15" s="1"/>
  <c r="J148" i="15"/>
  <c r="I146" i="15"/>
  <c r="I145" i="15"/>
  <c r="I143" i="15" s="1"/>
  <c r="I144" i="15"/>
  <c r="K144" i="15" s="1"/>
  <c r="N140" i="15"/>
  <c r="N138" i="15" s="1"/>
  <c r="M140" i="15"/>
  <c r="P140" i="15" s="1"/>
  <c r="L140" i="15"/>
  <c r="O140" i="15" s="1"/>
  <c r="P139" i="15"/>
  <c r="O139" i="15"/>
  <c r="N137" i="15"/>
  <c r="N135" i="15" s="1"/>
  <c r="M137" i="15"/>
  <c r="P137" i="15" s="1"/>
  <c r="L137" i="15"/>
  <c r="O137" i="15" s="1"/>
  <c r="P136" i="15"/>
  <c r="O136" i="15"/>
  <c r="P133" i="15"/>
  <c r="N133" i="15"/>
  <c r="M133" i="15"/>
  <c r="L133" i="15"/>
  <c r="O133" i="15" s="1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K99" i="15" s="1"/>
  <c r="J98" i="15"/>
  <c r="J86" i="15" s="1"/>
  <c r="I98" i="15"/>
  <c r="I86" i="15" s="1"/>
  <c r="N96" i="15"/>
  <c r="N94" i="15" s="1"/>
  <c r="M96" i="15"/>
  <c r="L96" i="15"/>
  <c r="P95" i="15"/>
  <c r="O95" i="15"/>
  <c r="N93" i="15"/>
  <c r="N91" i="15" s="1"/>
  <c r="M93" i="15"/>
  <c r="M91" i="15" s="1"/>
  <c r="L93" i="15"/>
  <c r="P92" i="15"/>
  <c r="O92" i="15"/>
  <c r="N89" i="15"/>
  <c r="M89" i="15"/>
  <c r="P89" i="15" s="1"/>
  <c r="L89" i="15"/>
  <c r="J87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J77" i="15"/>
  <c r="J76" i="15"/>
  <c r="J64" i="15" s="1"/>
  <c r="N74" i="15"/>
  <c r="N72" i="15" s="1"/>
  <c r="M74" i="15"/>
  <c r="P74" i="15" s="1"/>
  <c r="L74" i="15"/>
  <c r="O74" i="15" s="1"/>
  <c r="P73" i="15"/>
  <c r="O73" i="15"/>
  <c r="N71" i="15"/>
  <c r="N69" i="15" s="1"/>
  <c r="M71" i="15"/>
  <c r="P71" i="15" s="1"/>
  <c r="L71" i="15"/>
  <c r="O71" i="15" s="1"/>
  <c r="P70" i="15"/>
  <c r="O70" i="15"/>
  <c r="P67" i="15"/>
  <c r="N67" i="15"/>
  <c r="M67" i="15"/>
  <c r="L67" i="15"/>
  <c r="O67" i="15" s="1"/>
  <c r="J65" i="15"/>
  <c r="N61" i="15"/>
  <c r="M61" i="15"/>
  <c r="P61" i="15" s="1"/>
  <c r="L61" i="15"/>
  <c r="P60" i="15"/>
  <c r="O60" i="15"/>
  <c r="N58" i="15"/>
  <c r="N56" i="15" s="1"/>
  <c r="M58" i="15"/>
  <c r="M56" i="15" s="1"/>
  <c r="L58" i="15"/>
  <c r="L56" i="15" s="1"/>
  <c r="P57" i="15"/>
  <c r="O57" i="15"/>
  <c r="N54" i="15"/>
  <c r="M54" i="15"/>
  <c r="P54" i="15" s="1"/>
  <c r="L54" i="15"/>
  <c r="O54" i="15" s="1"/>
  <c r="N49" i="15"/>
  <c r="N47" i="15" s="1"/>
  <c r="M49" i="15"/>
  <c r="P49" i="15" s="1"/>
  <c r="L49" i="15"/>
  <c r="L47" i="15" s="1"/>
  <c r="O47" i="15" s="1"/>
  <c r="P48" i="15"/>
  <c r="O48" i="15"/>
  <c r="N46" i="15"/>
  <c r="N44" i="15" s="1"/>
  <c r="M46" i="15"/>
  <c r="L46" i="15"/>
  <c r="P45" i="15"/>
  <c r="O45" i="15"/>
  <c r="P42" i="15"/>
  <c r="N42" i="15"/>
  <c r="M42" i="15"/>
  <c r="L42" i="15"/>
  <c r="O42" i="15" s="1"/>
  <c r="N36" i="15"/>
  <c r="M36" i="15"/>
  <c r="P36" i="15" s="1"/>
  <c r="N35" i="15"/>
  <c r="M35" i="15"/>
  <c r="M15" i="15" s="1"/>
  <c r="L35" i="15"/>
  <c r="O35" i="15" s="1"/>
  <c r="N33" i="15"/>
  <c r="P32" i="15"/>
  <c r="O32" i="15"/>
  <c r="N32" i="15"/>
  <c r="M32" i="15"/>
  <c r="L32" i="15"/>
  <c r="N31" i="15"/>
  <c r="N30" i="15"/>
  <c r="N29" i="15"/>
  <c r="M29" i="15"/>
  <c r="L29" i="15"/>
  <c r="O29" i="15" s="1"/>
  <c r="P25" i="15"/>
  <c r="O25" i="15"/>
  <c r="N25" i="15"/>
  <c r="M25" i="15"/>
  <c r="L25" i="15"/>
  <c r="N22" i="15"/>
  <c r="M22" i="15"/>
  <c r="L22" i="15"/>
  <c r="N19" i="15"/>
  <c r="N15" i="15"/>
  <c r="L15" i="15"/>
  <c r="O15" i="15" s="1"/>
  <c r="P12" i="15"/>
  <c r="N12" i="15"/>
  <c r="M12" i="15"/>
  <c r="N9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L789" i="14" s="1"/>
  <c r="O789" i="14" s="1"/>
  <c r="P790" i="14"/>
  <c r="O790" i="14"/>
  <c r="N789" i="14"/>
  <c r="M789" i="14"/>
  <c r="P789" i="14" s="1"/>
  <c r="M788" i="14"/>
  <c r="L788" i="14"/>
  <c r="O788" i="14" s="1"/>
  <c r="P787" i="14"/>
  <c r="N787" i="14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N773" i="14"/>
  <c r="M773" i="14"/>
  <c r="P773" i="14" s="1"/>
  <c r="L773" i="14"/>
  <c r="N772" i="14"/>
  <c r="N770" i="14" s="1"/>
  <c r="M772" i="14"/>
  <c r="P772" i="14" s="1"/>
  <c r="L772" i="14"/>
  <c r="O772" i="14" s="1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N757" i="14"/>
  <c r="M757" i="14"/>
  <c r="P757" i="14" s="1"/>
  <c r="L757" i="14"/>
  <c r="N756" i="14"/>
  <c r="N754" i="14" s="1"/>
  <c r="M756" i="14"/>
  <c r="P756" i="14" s="1"/>
  <c r="L756" i="14"/>
  <c r="O756" i="14" s="1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N690" i="14"/>
  <c r="L690" i="14"/>
  <c r="L687" i="14" s="1"/>
  <c r="N688" i="14"/>
  <c r="N687" i="14"/>
  <c r="N685" i="14" s="1"/>
  <c r="N686" i="14"/>
  <c r="M686" i="14"/>
  <c r="L686" i="14"/>
  <c r="O686" i="14" s="1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P667" i="14"/>
  <c r="O667" i="14"/>
  <c r="P666" i="14"/>
  <c r="O666" i="14"/>
  <c r="N665" i="14"/>
  <c r="M665" i="14"/>
  <c r="P665" i="14" s="1"/>
  <c r="L665" i="14"/>
  <c r="O665" i="14" s="1"/>
  <c r="N660" i="14"/>
  <c r="N658" i="14" s="1"/>
  <c r="L660" i="14"/>
  <c r="L657" i="14" s="1"/>
  <c r="P659" i="14"/>
  <c r="O659" i="14"/>
  <c r="N657" i="14"/>
  <c r="P656" i="14"/>
  <c r="O656" i="14"/>
  <c r="N656" i="14"/>
  <c r="M656" i="14"/>
  <c r="L656" i="14"/>
  <c r="N655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N632" i="14"/>
  <c r="M632" i="14"/>
  <c r="P632" i="14" s="1"/>
  <c r="N631" i="14"/>
  <c r="N629" i="14" s="1"/>
  <c r="M631" i="14"/>
  <c r="P631" i="14" s="1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82" i="14"/>
  <c r="J576" i="14" s="1"/>
  <c r="J559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N547" i="14" s="1"/>
  <c r="L549" i="14"/>
  <c r="L546" i="14" s="1"/>
  <c r="P548" i="14"/>
  <c r="O548" i="14"/>
  <c r="N546" i="14"/>
  <c r="O545" i="14"/>
  <c r="N545" i="14"/>
  <c r="L545" i="14"/>
  <c r="N544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P526" i="14"/>
  <c r="N526" i="14"/>
  <c r="M526" i="14"/>
  <c r="P525" i="14"/>
  <c r="N525" i="14"/>
  <c r="M525" i="14"/>
  <c r="O524" i="14"/>
  <c r="N524" i="14"/>
  <c r="M524" i="14"/>
  <c r="P524" i="14" s="1"/>
  <c r="L524" i="14"/>
  <c r="N523" i="14"/>
  <c r="M523" i="14"/>
  <c r="P523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O505" i="14"/>
  <c r="N505" i="14"/>
  <c r="M505" i="14"/>
  <c r="P505" i="14" s="1"/>
  <c r="L505" i="14"/>
  <c r="N504" i="14"/>
  <c r="N502" i="14" s="1"/>
  <c r="M504" i="14"/>
  <c r="P504" i="14" s="1"/>
  <c r="L504" i="14"/>
  <c r="O504" i="14" s="1"/>
  <c r="N503" i="14"/>
  <c r="M503" i="14"/>
  <c r="L503" i="14"/>
  <c r="O503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P477" i="14"/>
  <c r="N477" i="14"/>
  <c r="M477" i="14"/>
  <c r="N472" i="14"/>
  <c r="L472" i="14"/>
  <c r="P471" i="14"/>
  <c r="O471" i="14"/>
  <c r="N468" i="14"/>
  <c r="M468" i="14"/>
  <c r="P468" i="14" s="1"/>
  <c r="L468" i="14"/>
  <c r="O468" i="14" s="1"/>
  <c r="J466" i="14"/>
  <c r="I466" i="14"/>
  <c r="K466" i="14" s="1"/>
  <c r="J465" i="14"/>
  <c r="I465" i="14"/>
  <c r="I464" i="14"/>
  <c r="I463" i="14"/>
  <c r="I462" i="14"/>
  <c r="K462" i="14" s="1"/>
  <c r="I460" i="14"/>
  <c r="I442" i="14" s="1"/>
  <c r="K442" i="14" s="1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P447" i="14"/>
  <c r="N447" i="14"/>
  <c r="M447" i="14"/>
  <c r="P446" i="14"/>
  <c r="N446" i="14"/>
  <c r="M446" i="14"/>
  <c r="O445" i="14"/>
  <c r="N445" i="14"/>
  <c r="N444" i="14" s="1"/>
  <c r="M445" i="14"/>
  <c r="P445" i="14" s="1"/>
  <c r="L445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J418" i="14" s="1"/>
  <c r="P431" i="14"/>
  <c r="L431" i="14"/>
  <c r="O431" i="14" s="1"/>
  <c r="P430" i="14"/>
  <c r="O430" i="14"/>
  <c r="P429" i="14"/>
  <c r="N429" i="14"/>
  <c r="M429" i="14"/>
  <c r="N424" i="14"/>
  <c r="N422" i="14" s="1"/>
  <c r="L424" i="14"/>
  <c r="P423" i="14"/>
  <c r="O423" i="14"/>
  <c r="N421" i="14"/>
  <c r="O420" i="14"/>
  <c r="N420" i="14"/>
  <c r="N419" i="14" s="1"/>
  <c r="M420" i="14"/>
  <c r="P420" i="14" s="1"/>
  <c r="L420" i="14"/>
  <c r="K413" i="14"/>
  <c r="K412" i="14"/>
  <c r="N410" i="14"/>
  <c r="N408" i="14" s="1"/>
  <c r="M410" i="14"/>
  <c r="L410" i="14"/>
  <c r="L408" i="14" s="1"/>
  <c r="O408" i="14" s="1"/>
  <c r="P409" i="14"/>
  <c r="O409" i="14"/>
  <c r="N407" i="14"/>
  <c r="M407" i="14"/>
  <c r="L407" i="14"/>
  <c r="L405" i="14" s="1"/>
  <c r="O405" i="14" s="1"/>
  <c r="P406" i="14"/>
  <c r="O406" i="14"/>
  <c r="N403" i="14"/>
  <c r="M403" i="14"/>
  <c r="P403" i="14" s="1"/>
  <c r="L403" i="14"/>
  <c r="O403" i="14" s="1"/>
  <c r="K401" i="14"/>
  <c r="J401" i="14"/>
  <c r="I401" i="14"/>
  <c r="K400" i="14"/>
  <c r="K399" i="14"/>
  <c r="N397" i="14"/>
  <c r="N395" i="14" s="1"/>
  <c r="M397" i="14"/>
  <c r="L397" i="14"/>
  <c r="O397" i="14" s="1"/>
  <c r="P396" i="14"/>
  <c r="O396" i="14"/>
  <c r="N394" i="14"/>
  <c r="M394" i="14"/>
  <c r="M392" i="14" s="1"/>
  <c r="P392" i="14" s="1"/>
  <c r="L394" i="14"/>
  <c r="P393" i="14"/>
  <c r="O393" i="14"/>
  <c r="O390" i="14"/>
  <c r="N390" i="14"/>
  <c r="M390" i="14"/>
  <c r="P390" i="14" s="1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L351" i="14" s="1"/>
  <c r="P352" i="14"/>
  <c r="O352" i="14"/>
  <c r="N350" i="14"/>
  <c r="M350" i="14"/>
  <c r="M348" i="14" s="1"/>
  <c r="L350" i="14"/>
  <c r="L348" i="14" s="1"/>
  <c r="P349" i="14"/>
  <c r="O349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M331" i="14" s="1"/>
  <c r="L333" i="14"/>
  <c r="P332" i="14"/>
  <c r="O332" i="14"/>
  <c r="P329" i="14"/>
  <c r="N329" i="14"/>
  <c r="M329" i="14"/>
  <c r="L329" i="14"/>
  <c r="O329" i="14" s="1"/>
  <c r="I327" i="14"/>
  <c r="I325" i="14"/>
  <c r="N323" i="14"/>
  <c r="N321" i="14" s="1"/>
  <c r="M323" i="14"/>
  <c r="P323" i="14" s="1"/>
  <c r="L323" i="14"/>
  <c r="P322" i="14"/>
  <c r="O322" i="14"/>
  <c r="N320" i="14"/>
  <c r="M320" i="14"/>
  <c r="L320" i="14"/>
  <c r="O320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P306" i="14" s="1"/>
  <c r="L306" i="14"/>
  <c r="O306" i="14" s="1"/>
  <c r="P305" i="14"/>
  <c r="O305" i="14"/>
  <c r="N303" i="14"/>
  <c r="M303" i="14"/>
  <c r="P303" i="14" s="1"/>
  <c r="L303" i="14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I276" i="14" s="1"/>
  <c r="K276" i="14" s="1"/>
  <c r="N285" i="14"/>
  <c r="M285" i="14"/>
  <c r="L285" i="14"/>
  <c r="P284" i="14"/>
  <c r="O284" i="14"/>
  <c r="N282" i="14"/>
  <c r="N280" i="14" s="1"/>
  <c r="M282" i="14"/>
  <c r="P282" i="14" s="1"/>
  <c r="L282" i="14"/>
  <c r="P281" i="14"/>
  <c r="O281" i="14"/>
  <c r="O278" i="14"/>
  <c r="N278" i="14"/>
  <c r="M278" i="14"/>
  <c r="P278" i="14" s="1"/>
  <c r="L278" i="14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M266" i="14"/>
  <c r="L266" i="14"/>
  <c r="L264" i="14" s="1"/>
  <c r="P265" i="14"/>
  <c r="O265" i="14"/>
  <c r="P262" i="14"/>
  <c r="N262" i="14"/>
  <c r="M262" i="14"/>
  <c r="L262" i="14"/>
  <c r="O262" i="14" s="1"/>
  <c r="J260" i="14"/>
  <c r="K258" i="14"/>
  <c r="K257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N227" i="14" s="1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J226" i="14"/>
  <c r="J180" i="14" s="1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M186" i="14"/>
  <c r="M184" i="14" s="1"/>
  <c r="L186" i="14"/>
  <c r="P185" i="14"/>
  <c r="O185" i="14"/>
  <c r="P182" i="14"/>
  <c r="N182" i="14"/>
  <c r="M182" i="14"/>
  <c r="L182" i="14"/>
  <c r="J177" i="14"/>
  <c r="I176" i="14"/>
  <c r="I174" i="14" s="1"/>
  <c r="K174" i="14" s="1"/>
  <c r="J174" i="14"/>
  <c r="N173" i="14"/>
  <c r="N171" i="14" s="1"/>
  <c r="M173" i="14"/>
  <c r="P173" i="14" s="1"/>
  <c r="L173" i="14"/>
  <c r="P172" i="14"/>
  <c r="O172" i="14"/>
  <c r="N170" i="14"/>
  <c r="M170" i="14"/>
  <c r="L170" i="14"/>
  <c r="L168" i="14" s="1"/>
  <c r="P169" i="14"/>
  <c r="O169" i="14"/>
  <c r="P166" i="14"/>
  <c r="N166" i="14"/>
  <c r="M166" i="14"/>
  <c r="L166" i="14"/>
  <c r="J164" i="14"/>
  <c r="I159" i="14"/>
  <c r="K159" i="14" s="1"/>
  <c r="N157" i="14"/>
  <c r="N155" i="14" s="1"/>
  <c r="M157" i="14"/>
  <c r="L157" i="14"/>
  <c r="P156" i="14"/>
  <c r="O156" i="14"/>
  <c r="N154" i="14"/>
  <c r="N152" i="14" s="1"/>
  <c r="M154" i="14"/>
  <c r="L154" i="14"/>
  <c r="P153" i="14"/>
  <c r="O153" i="14"/>
  <c r="N150" i="14"/>
  <c r="M150" i="14"/>
  <c r="P150" i="14" s="1"/>
  <c r="L150" i="14"/>
  <c r="O150" i="14" s="1"/>
  <c r="J148" i="14"/>
  <c r="I146" i="14"/>
  <c r="K146" i="14" s="1"/>
  <c r="I145" i="14"/>
  <c r="K145" i="14" s="1"/>
  <c r="I144" i="14"/>
  <c r="K144" i="14" s="1"/>
  <c r="N140" i="14"/>
  <c r="N138" i="14" s="1"/>
  <c r="M140" i="14"/>
  <c r="L140" i="14"/>
  <c r="O140" i="14" s="1"/>
  <c r="P139" i="14"/>
  <c r="O139" i="14"/>
  <c r="N137" i="14"/>
  <c r="N135" i="14" s="1"/>
  <c r="M137" i="14"/>
  <c r="M135" i="14" s="1"/>
  <c r="P135" i="14" s="1"/>
  <c r="L137" i="14"/>
  <c r="O137" i="14" s="1"/>
  <c r="P136" i="14"/>
  <c r="O136" i="14"/>
  <c r="O133" i="14"/>
  <c r="N133" i="14"/>
  <c r="M133" i="14"/>
  <c r="L133" i="14"/>
  <c r="J130" i="14"/>
  <c r="N127" i="14"/>
  <c r="N125" i="14" s="1"/>
  <c r="M127" i="14"/>
  <c r="L127" i="14"/>
  <c r="P126" i="14"/>
  <c r="O126" i="14"/>
  <c r="N124" i="14"/>
  <c r="N122" i="14" s="1"/>
  <c r="M124" i="14"/>
  <c r="L124" i="14"/>
  <c r="O124" i="14" s="1"/>
  <c r="P123" i="14"/>
  <c r="O123" i="14"/>
  <c r="N120" i="14"/>
  <c r="M120" i="14"/>
  <c r="P120" i="14" s="1"/>
  <c r="L120" i="14"/>
  <c r="O120" i="14" s="1"/>
  <c r="I116" i="14"/>
  <c r="I115" i="14"/>
  <c r="K115" i="14" s="1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I86" i="14" s="1"/>
  <c r="N96" i="14"/>
  <c r="N94" i="14" s="1"/>
  <c r="M96" i="14"/>
  <c r="P96" i="14" s="1"/>
  <c r="L96" i="14"/>
  <c r="O96" i="14" s="1"/>
  <c r="P95" i="14"/>
  <c r="O95" i="14"/>
  <c r="N93" i="14"/>
  <c r="M93" i="14"/>
  <c r="M91" i="14" s="1"/>
  <c r="L93" i="14"/>
  <c r="P92" i="14"/>
  <c r="O92" i="14"/>
  <c r="P89" i="14"/>
  <c r="N89" i="14"/>
  <c r="M89" i="14"/>
  <c r="L89" i="14"/>
  <c r="J87" i="14"/>
  <c r="J86" i="14"/>
  <c r="I84" i="14"/>
  <c r="K84" i="14" s="1"/>
  <c r="I83" i="14"/>
  <c r="K83" i="14" s="1"/>
  <c r="I82" i="14"/>
  <c r="K82" i="14" s="1"/>
  <c r="I81" i="14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L74" i="14"/>
  <c r="O74" i="14" s="1"/>
  <c r="P73" i="14"/>
  <c r="O73" i="14"/>
  <c r="N71" i="14"/>
  <c r="N69" i="14" s="1"/>
  <c r="M71" i="14"/>
  <c r="L71" i="14"/>
  <c r="O71" i="14" s="1"/>
  <c r="P70" i="14"/>
  <c r="O70" i="14"/>
  <c r="P67" i="14"/>
  <c r="O67" i="14"/>
  <c r="N67" i="14"/>
  <c r="M67" i="14"/>
  <c r="L67" i="14"/>
  <c r="J65" i="14"/>
  <c r="N61" i="14"/>
  <c r="N59" i="14" s="1"/>
  <c r="M61" i="14"/>
  <c r="L61" i="14"/>
  <c r="L59" i="14" s="1"/>
  <c r="P60" i="14"/>
  <c r="O60" i="14"/>
  <c r="N58" i="14"/>
  <c r="N56" i="14" s="1"/>
  <c r="M58" i="14"/>
  <c r="M56" i="14" s="1"/>
  <c r="L58" i="14"/>
  <c r="P57" i="14"/>
  <c r="O57" i="14"/>
  <c r="O54" i="14"/>
  <c r="N54" i="14"/>
  <c r="M54" i="14"/>
  <c r="P54" i="14" s="1"/>
  <c r="L54" i="14"/>
  <c r="N49" i="14"/>
  <c r="N47" i="14" s="1"/>
  <c r="M49" i="14"/>
  <c r="L49" i="14"/>
  <c r="O49" i="14" s="1"/>
  <c r="P48" i="14"/>
  <c r="O48" i="14"/>
  <c r="N46" i="14"/>
  <c r="M46" i="14"/>
  <c r="M44" i="14" s="1"/>
  <c r="L46" i="14"/>
  <c r="L44" i="14" s="1"/>
  <c r="P45" i="14"/>
  <c r="O45" i="14"/>
  <c r="P42" i="14"/>
  <c r="N42" i="14"/>
  <c r="M42" i="14"/>
  <c r="L42" i="14"/>
  <c r="O42" i="14" s="1"/>
  <c r="N36" i="14"/>
  <c r="M36" i="14"/>
  <c r="P36" i="14" s="1"/>
  <c r="O35" i="14"/>
  <c r="N35" i="14"/>
  <c r="M35" i="14"/>
  <c r="P35" i="14" s="1"/>
  <c r="L35" i="14"/>
  <c r="N34" i="14"/>
  <c r="P32" i="14"/>
  <c r="N32" i="14"/>
  <c r="N29" i="14" s="1"/>
  <c r="M32" i="14"/>
  <c r="L32" i="14"/>
  <c r="P25" i="14"/>
  <c r="N25" i="14"/>
  <c r="M25" i="14"/>
  <c r="L25" i="14"/>
  <c r="L19" i="14" s="1"/>
  <c r="O22" i="14"/>
  <c r="N22" i="14"/>
  <c r="M22" i="14"/>
  <c r="L22" i="14"/>
  <c r="L15" i="14"/>
  <c r="O15" i="14" s="1"/>
  <c r="L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O808" i="13"/>
  <c r="N808" i="13"/>
  <c r="M808" i="13"/>
  <c r="P808" i="13" s="1"/>
  <c r="L808" i="13"/>
  <c r="M807" i="13"/>
  <c r="P807" i="13" s="1"/>
  <c r="L807" i="13"/>
  <c r="N806" i="13"/>
  <c r="M806" i="13"/>
  <c r="L806" i="13"/>
  <c r="O806" i="13" s="1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9" i="13" s="1"/>
  <c r="L791" i="13"/>
  <c r="P790" i="13"/>
  <c r="O790" i="13"/>
  <c r="M789" i="13"/>
  <c r="P789" i="13" s="1"/>
  <c r="N788" i="13"/>
  <c r="N786" i="13" s="1"/>
  <c r="M788" i="13"/>
  <c r="P788" i="13" s="1"/>
  <c r="N787" i="13"/>
  <c r="M787" i="13"/>
  <c r="L787" i="13"/>
  <c r="O787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L772" i="13"/>
  <c r="N771" i="13"/>
  <c r="M771" i="13"/>
  <c r="P771" i="13" s="1"/>
  <c r="L771" i="13"/>
  <c r="O771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N754" i="13" s="1"/>
  <c r="M755" i="13"/>
  <c r="P755" i="13" s="1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N737" i="13" s="1"/>
  <c r="M738" i="13"/>
  <c r="P738" i="13" s="1"/>
  <c r="L738" i="13"/>
  <c r="O738" i="13" s="1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M690" i="13" s="1"/>
  <c r="M688" i="13" s="1"/>
  <c r="P688" i="13" s="1"/>
  <c r="N688" i="13"/>
  <c r="N687" i="13"/>
  <c r="N686" i="13"/>
  <c r="M686" i="13"/>
  <c r="P686" i="13" s="1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I669" i="13"/>
  <c r="P667" i="13"/>
  <c r="O667" i="13"/>
  <c r="P666" i="13"/>
  <c r="O666" i="13"/>
  <c r="N665" i="13"/>
  <c r="M665" i="13"/>
  <c r="P665" i="13" s="1"/>
  <c r="L665" i="13"/>
  <c r="O665" i="13" s="1"/>
  <c r="N660" i="13"/>
  <c r="L660" i="13"/>
  <c r="O660" i="13" s="1"/>
  <c r="P659" i="13"/>
  <c r="O659" i="13"/>
  <c r="N658" i="13"/>
  <c r="N657" i="13"/>
  <c r="P656" i="13"/>
  <c r="N656" i="13"/>
  <c r="M656" i="13"/>
  <c r="L656" i="13"/>
  <c r="N655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P639" i="13"/>
  <c r="N639" i="13"/>
  <c r="M639" i="13"/>
  <c r="P634" i="13"/>
  <c r="N634" i="13"/>
  <c r="N631" i="13" s="1"/>
  <c r="L634" i="13"/>
  <c r="L632" i="13" s="1"/>
  <c r="O632" i="13" s="1"/>
  <c r="P633" i="13"/>
  <c r="O633" i="13"/>
  <c r="P632" i="13"/>
  <c r="N632" i="13"/>
  <c r="M632" i="13"/>
  <c r="M631" i="13"/>
  <c r="P631" i="13" s="1"/>
  <c r="N630" i="13"/>
  <c r="M630" i="13"/>
  <c r="P630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77" i="13" s="1"/>
  <c r="J582" i="13"/>
  <c r="I577" i="13"/>
  <c r="K577" i="13" s="1"/>
  <c r="J576" i="13"/>
  <c r="J559" i="13" s="1"/>
  <c r="J543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N555" i="13"/>
  <c r="N545" i="13" s="1"/>
  <c r="N544" i="13" s="1"/>
  <c r="M555" i="13"/>
  <c r="N549" i="13"/>
  <c r="L549" i="13"/>
  <c r="P548" i="13"/>
  <c r="O548" i="13"/>
  <c r="N547" i="13"/>
  <c r="N546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P534" i="13"/>
  <c r="O534" i="13"/>
  <c r="N533" i="13"/>
  <c r="M533" i="13"/>
  <c r="P533" i="13" s="1"/>
  <c r="P528" i="13"/>
  <c r="N528" i="13"/>
  <c r="L528" i="13"/>
  <c r="O528" i="13" s="1"/>
  <c r="P527" i="13"/>
  <c r="O527" i="13"/>
  <c r="P526" i="13"/>
  <c r="N526" i="13"/>
  <c r="M526" i="13"/>
  <c r="P525" i="13"/>
  <c r="N525" i="13"/>
  <c r="M525" i="13"/>
  <c r="P524" i="13"/>
  <c r="O524" i="13"/>
  <c r="N524" i="13"/>
  <c r="N523" i="13" s="1"/>
  <c r="M524" i="13"/>
  <c r="L524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O504" i="13"/>
  <c r="N504" i="13"/>
  <c r="M504" i="13"/>
  <c r="P504" i="13" s="1"/>
  <c r="L504" i="13"/>
  <c r="N503" i="13"/>
  <c r="M503" i="13"/>
  <c r="P503" i="13" s="1"/>
  <c r="L503" i="13"/>
  <c r="O503" i="13" s="1"/>
  <c r="M502" i="13"/>
  <c r="P502" i="13" s="1"/>
  <c r="L502" i="13"/>
  <c r="O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P472" i="13"/>
  <c r="N472" i="13"/>
  <c r="N469" i="13" s="1"/>
  <c r="L472" i="13"/>
  <c r="L470" i="13" s="1"/>
  <c r="O470" i="13" s="1"/>
  <c r="P471" i="13"/>
  <c r="O471" i="13"/>
  <c r="P470" i="13"/>
  <c r="N470" i="13"/>
  <c r="M470" i="13"/>
  <c r="M469" i="13"/>
  <c r="P469" i="13" s="1"/>
  <c r="N468" i="13"/>
  <c r="M468" i="13"/>
  <c r="P468" i="13" s="1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I442" i="13" s="1"/>
  <c r="K442" i="13" s="1"/>
  <c r="K458" i="13"/>
  <c r="P456" i="13"/>
  <c r="L456" i="13"/>
  <c r="L454" i="13" s="1"/>
  <c r="O454" i="13" s="1"/>
  <c r="P455" i="13"/>
  <c r="O455" i="13"/>
  <c r="P454" i="13"/>
  <c r="N454" i="13"/>
  <c r="M454" i="13"/>
  <c r="P449" i="13"/>
  <c r="N449" i="13"/>
  <c r="L449" i="13"/>
  <c r="O449" i="13" s="1"/>
  <c r="P448" i="13"/>
  <c r="O448" i="13"/>
  <c r="P447" i="13"/>
  <c r="N447" i="13"/>
  <c r="M447" i="13"/>
  <c r="P446" i="13"/>
  <c r="N446" i="13"/>
  <c r="M446" i="13"/>
  <c r="O445" i="13"/>
  <c r="N445" i="13"/>
  <c r="M445" i="13"/>
  <c r="P445" i="13" s="1"/>
  <c r="L445" i="13"/>
  <c r="N444" i="13"/>
  <c r="M444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O431" i="13" s="1"/>
  <c r="P430" i="13"/>
  <c r="O430" i="13"/>
  <c r="P429" i="13"/>
  <c r="N429" i="13"/>
  <c r="M429" i="13"/>
  <c r="N424" i="13"/>
  <c r="N422" i="13" s="1"/>
  <c r="L424" i="13"/>
  <c r="P423" i="13"/>
  <c r="O423" i="13"/>
  <c r="N421" i="13"/>
  <c r="P420" i="13"/>
  <c r="O420" i="13"/>
  <c r="N420" i="13"/>
  <c r="N419" i="13" s="1"/>
  <c r="M420" i="13"/>
  <c r="L420" i="13"/>
  <c r="J418" i="13"/>
  <c r="K413" i="13"/>
  <c r="K412" i="13"/>
  <c r="N410" i="13"/>
  <c r="N408" i="13" s="1"/>
  <c r="M410" i="13"/>
  <c r="L410" i="13"/>
  <c r="O410" i="13" s="1"/>
  <c r="P409" i="13"/>
  <c r="O409" i="13"/>
  <c r="N407" i="13"/>
  <c r="N405" i="13" s="1"/>
  <c r="M407" i="13"/>
  <c r="L407" i="13"/>
  <c r="O407" i="13" s="1"/>
  <c r="P406" i="13"/>
  <c r="O406" i="13"/>
  <c r="N403" i="13"/>
  <c r="M403" i="13"/>
  <c r="P403" i="13" s="1"/>
  <c r="L403" i="13"/>
  <c r="O403" i="13" s="1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L394" i="13"/>
  <c r="L392" i="13" s="1"/>
  <c r="O392" i="13" s="1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M351" i="13" s="1"/>
  <c r="L353" i="13"/>
  <c r="P352" i="13"/>
  <c r="O352" i="13"/>
  <c r="N350" i="13"/>
  <c r="N348" i="13" s="1"/>
  <c r="M350" i="13"/>
  <c r="L350" i="13"/>
  <c r="L348" i="13" s="1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M333" i="13"/>
  <c r="M331" i="13" s="1"/>
  <c r="L333" i="13"/>
  <c r="P332" i="13"/>
  <c r="O332" i="13"/>
  <c r="P329" i="13"/>
  <c r="O329" i="13"/>
  <c r="N329" i="13"/>
  <c r="M329" i="13"/>
  <c r="L329" i="13"/>
  <c r="I327" i="13"/>
  <c r="I325" i="13"/>
  <c r="I314" i="13" s="1"/>
  <c r="K314" i="13" s="1"/>
  <c r="N323" i="13"/>
  <c r="N321" i="13" s="1"/>
  <c r="M323" i="13"/>
  <c r="L323" i="13"/>
  <c r="P322" i="13"/>
  <c r="O322" i="13"/>
  <c r="N320" i="13"/>
  <c r="M320" i="13"/>
  <c r="L320" i="13"/>
  <c r="O320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P305" i="13"/>
  <c r="O305" i="13"/>
  <c r="N303" i="13"/>
  <c r="N301" i="13" s="1"/>
  <c r="M303" i="13"/>
  <c r="M301" i="13" s="1"/>
  <c r="L303" i="13"/>
  <c r="P302" i="13"/>
  <c r="O302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L282" i="13"/>
  <c r="O282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L269" i="13"/>
  <c r="O269" i="13" s="1"/>
  <c r="P268" i="13"/>
  <c r="O268" i="13"/>
  <c r="N266" i="13"/>
  <c r="M266" i="13"/>
  <c r="M264" i="13" s="1"/>
  <c r="L266" i="13"/>
  <c r="L264" i="13" s="1"/>
  <c r="P265" i="13"/>
  <c r="O265" i="13"/>
  <c r="P262" i="13"/>
  <c r="O262" i="13"/>
  <c r="N262" i="13"/>
  <c r="M262" i="13"/>
  <c r="L262" i="13"/>
  <c r="J260" i="13"/>
  <c r="K258" i="13"/>
  <c r="K257" i="13"/>
  <c r="K255" i="13"/>
  <c r="L253" i="13"/>
  <c r="L252" i="13"/>
  <c r="L251" i="13"/>
  <c r="L250" i="13"/>
  <c r="P249" i="13"/>
  <c r="N249" i="13"/>
  <c r="J248" i="13"/>
  <c r="J226" i="13" s="1"/>
  <c r="K247" i="13"/>
  <c r="K246" i="13"/>
  <c r="I244" i="13"/>
  <c r="K244" i="13" s="1"/>
  <c r="L242" i="13"/>
  <c r="L241" i="13"/>
  <c r="L240" i="13"/>
  <c r="L239" i="13"/>
  <c r="P238" i="13"/>
  <c r="N238" i="13"/>
  <c r="N227" i="13" s="1"/>
  <c r="J237" i="13"/>
  <c r="K236" i="13"/>
  <c r="J236" i="13"/>
  <c r="I236" i="13"/>
  <c r="J235" i="13"/>
  <c r="I235" i="13"/>
  <c r="J233" i="13"/>
  <c r="N231" i="13"/>
  <c r="N230" i="13"/>
  <c r="N229" i="13"/>
  <c r="N228" i="13"/>
  <c r="I225" i="13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M189" i="13"/>
  <c r="P189" i="13" s="1"/>
  <c r="L189" i="13"/>
  <c r="O189" i="13" s="1"/>
  <c r="P188" i="13"/>
  <c r="O188" i="13"/>
  <c r="N186" i="13"/>
  <c r="N184" i="13" s="1"/>
  <c r="M186" i="13"/>
  <c r="L186" i="13"/>
  <c r="L184" i="13" s="1"/>
  <c r="P185" i="13"/>
  <c r="O185" i="13"/>
  <c r="P182" i="13"/>
  <c r="N182" i="13"/>
  <c r="M182" i="13"/>
  <c r="L182" i="13"/>
  <c r="J180" i="13"/>
  <c r="J177" i="13"/>
  <c r="I176" i="13"/>
  <c r="J174" i="13"/>
  <c r="N173" i="13"/>
  <c r="N171" i="13" s="1"/>
  <c r="M173" i="13"/>
  <c r="P173" i="13" s="1"/>
  <c r="L173" i="13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J164" i="13"/>
  <c r="I159" i="13"/>
  <c r="K159" i="13" s="1"/>
  <c r="N157" i="13"/>
  <c r="N155" i="13" s="1"/>
  <c r="M157" i="13"/>
  <c r="L157" i="13"/>
  <c r="L155" i="13" s="1"/>
  <c r="O155" i="13" s="1"/>
  <c r="P156" i="13"/>
  <c r="O156" i="13"/>
  <c r="N154" i="13"/>
  <c r="M154" i="13"/>
  <c r="L154" i="13"/>
  <c r="L152" i="13" s="1"/>
  <c r="P153" i="13"/>
  <c r="O153" i="13"/>
  <c r="N150" i="13"/>
  <c r="M150" i="13"/>
  <c r="P150" i="13" s="1"/>
  <c r="L150" i="13"/>
  <c r="O150" i="13" s="1"/>
  <c r="J148" i="13"/>
  <c r="I146" i="13"/>
  <c r="I145" i="13"/>
  <c r="I143" i="13" s="1"/>
  <c r="I144" i="13"/>
  <c r="K144" i="13" s="1"/>
  <c r="N140" i="13"/>
  <c r="N138" i="13" s="1"/>
  <c r="M140" i="13"/>
  <c r="P140" i="13" s="1"/>
  <c r="L140" i="13"/>
  <c r="O140" i="13" s="1"/>
  <c r="P139" i="13"/>
  <c r="O139" i="13"/>
  <c r="N137" i="13"/>
  <c r="N135" i="13" s="1"/>
  <c r="M137" i="13"/>
  <c r="P137" i="13" s="1"/>
  <c r="L137" i="13"/>
  <c r="O137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L127" i="13"/>
  <c r="L125" i="13" s="1"/>
  <c r="O125" i="13" s="1"/>
  <c r="P126" i="13"/>
  <c r="O126" i="13"/>
  <c r="N124" i="13"/>
  <c r="M124" i="13"/>
  <c r="L124" i="13"/>
  <c r="P123" i="13"/>
  <c r="O123" i="13"/>
  <c r="N120" i="13"/>
  <c r="M120" i="13"/>
  <c r="P120" i="13" s="1"/>
  <c r="L120" i="13"/>
  <c r="O120" i="13" s="1"/>
  <c r="K118" i="13"/>
  <c r="J118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J98" i="13"/>
  <c r="I98" i="13"/>
  <c r="K98" i="13" s="1"/>
  <c r="N96" i="13"/>
  <c r="N94" i="13" s="1"/>
  <c r="M96" i="13"/>
  <c r="L96" i="13"/>
  <c r="O96" i="13" s="1"/>
  <c r="P95" i="13"/>
  <c r="O95" i="13"/>
  <c r="N93" i="13"/>
  <c r="M93" i="13"/>
  <c r="L93" i="13"/>
  <c r="L91" i="13" s="1"/>
  <c r="P92" i="13"/>
  <c r="O92" i="13"/>
  <c r="N89" i="13"/>
  <c r="M89" i="13"/>
  <c r="P89" i="13" s="1"/>
  <c r="L89" i="13"/>
  <c r="J86" i="13"/>
  <c r="I84" i="13"/>
  <c r="K84" i="13" s="1"/>
  <c r="I83" i="13"/>
  <c r="K83" i="13" s="1"/>
  <c r="I82" i="13"/>
  <c r="I81" i="13"/>
  <c r="K81" i="13" s="1"/>
  <c r="I80" i="13"/>
  <c r="K80" i="13" s="1"/>
  <c r="I79" i="13"/>
  <c r="I78" i="13"/>
  <c r="K78" i="13" s="1"/>
  <c r="J77" i="13"/>
  <c r="J76" i="13"/>
  <c r="J64" i="13" s="1"/>
  <c r="N74" i="13"/>
  <c r="N72" i="13" s="1"/>
  <c r="M74" i="13"/>
  <c r="P74" i="13" s="1"/>
  <c r="L74" i="13"/>
  <c r="P73" i="13"/>
  <c r="O73" i="13"/>
  <c r="N71" i="13"/>
  <c r="M71" i="13"/>
  <c r="M69" i="13" s="1"/>
  <c r="L71" i="13"/>
  <c r="P70" i="13"/>
  <c r="O70" i="13"/>
  <c r="N67" i="13"/>
  <c r="M67" i="13"/>
  <c r="L67" i="13"/>
  <c r="O67" i="13" s="1"/>
  <c r="J65" i="13"/>
  <c r="N61" i="13"/>
  <c r="M61" i="13"/>
  <c r="P61" i="13" s="1"/>
  <c r="L61" i="13"/>
  <c r="P60" i="13"/>
  <c r="O60" i="13"/>
  <c r="N58" i="13"/>
  <c r="N56" i="13" s="1"/>
  <c r="M58" i="13"/>
  <c r="L58" i="13"/>
  <c r="P57" i="13"/>
  <c r="O57" i="13"/>
  <c r="P54" i="13"/>
  <c r="O54" i="13"/>
  <c r="N54" i="13"/>
  <c r="M54" i="13"/>
  <c r="L54" i="13"/>
  <c r="N49" i="13"/>
  <c r="M49" i="13"/>
  <c r="M47" i="13" s="1"/>
  <c r="P47" i="13" s="1"/>
  <c r="L49" i="13"/>
  <c r="L47" i="13" s="1"/>
  <c r="O47" i="13" s="1"/>
  <c r="P48" i="13"/>
  <c r="O48" i="13"/>
  <c r="N46" i="13"/>
  <c r="M46" i="13"/>
  <c r="L46" i="13"/>
  <c r="L44" i="13" s="1"/>
  <c r="P45" i="13"/>
  <c r="O45" i="13"/>
  <c r="N42" i="13"/>
  <c r="M42" i="13"/>
  <c r="P42" i="13" s="1"/>
  <c r="L42" i="13"/>
  <c r="P36" i="13"/>
  <c r="N36" i="13"/>
  <c r="M36" i="13"/>
  <c r="P35" i="13"/>
  <c r="O35" i="13"/>
  <c r="N35" i="13"/>
  <c r="N34" i="13" s="1"/>
  <c r="M35" i="13"/>
  <c r="M34" i="13" s="1"/>
  <c r="P34" i="13" s="1"/>
  <c r="L35" i="13"/>
  <c r="N33" i="13"/>
  <c r="N30" i="13" s="1"/>
  <c r="N32" i="13"/>
  <c r="M32" i="13"/>
  <c r="L32" i="13"/>
  <c r="O32" i="13" s="1"/>
  <c r="N29" i="13"/>
  <c r="N25" i="13"/>
  <c r="M25" i="13"/>
  <c r="M19" i="13" s="1"/>
  <c r="L25" i="13"/>
  <c r="O25" i="13" s="1"/>
  <c r="P22" i="13"/>
  <c r="O22" i="13"/>
  <c r="N22" i="13"/>
  <c r="M22" i="13"/>
  <c r="L22" i="13"/>
  <c r="L19" i="13"/>
  <c r="O19" i="13" s="1"/>
  <c r="N15" i="13"/>
  <c r="M12" i="13"/>
  <c r="L12" i="13"/>
  <c r="O12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P789" i="12"/>
  <c r="N789" i="12"/>
  <c r="M789" i="12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N688" i="12" s="1"/>
  <c r="L690" i="12"/>
  <c r="O690" i="12" s="1"/>
  <c r="N687" i="12"/>
  <c r="N685" i="12" s="1"/>
  <c r="O686" i="12"/>
  <c r="N686" i="12"/>
  <c r="M686" i="12"/>
  <c r="L686" i="12"/>
  <c r="J679" i="12"/>
  <c r="J678" i="12"/>
  <c r="I678" i="12"/>
  <c r="K678" i="12" s="1"/>
  <c r="J675" i="12"/>
  <c r="J669" i="12" s="1"/>
  <c r="I671" i="12"/>
  <c r="K671" i="12" s="1"/>
  <c r="I670" i="12"/>
  <c r="K670" i="12" s="1"/>
  <c r="I669" i="12"/>
  <c r="K674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L657" i="12" s="1"/>
  <c r="P659" i="12"/>
  <c r="O659" i="12"/>
  <c r="N657" i="12"/>
  <c r="O656" i="12"/>
  <c r="N656" i="12"/>
  <c r="M656" i="12"/>
  <c r="P656" i="12" s="1"/>
  <c r="L656" i="12"/>
  <c r="N655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L632" i="12" s="1"/>
  <c r="O632" i="12" s="1"/>
  <c r="P633" i="12"/>
  <c r="O633" i="12"/>
  <c r="N632" i="12"/>
  <c r="M632" i="12"/>
  <c r="P632" i="12" s="1"/>
  <c r="P631" i="12"/>
  <c r="N631" i="12"/>
  <c r="N629" i="12" s="1"/>
  <c r="M631" i="12"/>
  <c r="O630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J583" i="12"/>
  <c r="J582" i="12"/>
  <c r="J576" i="12" s="1"/>
  <c r="J559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P548" i="12"/>
  <c r="O548" i="12"/>
  <c r="N546" i="12"/>
  <c r="O545" i="12"/>
  <c r="N545" i="12"/>
  <c r="L545" i="12"/>
  <c r="N544" i="12"/>
  <c r="J543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L526" i="12" s="1"/>
  <c r="O526" i="12" s="1"/>
  <c r="P527" i="12"/>
  <c r="O527" i="12"/>
  <c r="N526" i="12"/>
  <c r="M526" i="12"/>
  <c r="P526" i="12" s="1"/>
  <c r="P525" i="12"/>
  <c r="N525" i="12"/>
  <c r="N523" i="12" s="1"/>
  <c r="M525" i="12"/>
  <c r="O524" i="12"/>
  <c r="N524" i="12"/>
  <c r="M524" i="12"/>
  <c r="L524" i="12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N505" i="12" s="1"/>
  <c r="P506" i="12"/>
  <c r="O506" i="12"/>
  <c r="O505" i="12"/>
  <c r="M505" i="12"/>
  <c r="P505" i="12" s="1"/>
  <c r="L505" i="12"/>
  <c r="P504" i="12"/>
  <c r="N504" i="12"/>
  <c r="N502" i="12" s="1"/>
  <c r="M504" i="12"/>
  <c r="L504" i="12"/>
  <c r="O504" i="12" s="1"/>
  <c r="O503" i="12"/>
  <c r="N503" i="12"/>
  <c r="M503" i="12"/>
  <c r="L503" i="12"/>
  <c r="L502" i="12"/>
  <c r="O502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N477" i="12"/>
  <c r="M477" i="12"/>
  <c r="P477" i="12" s="1"/>
  <c r="N472" i="12"/>
  <c r="L472" i="12"/>
  <c r="L470" i="12" s="1"/>
  <c r="P471" i="12"/>
  <c r="O471" i="12"/>
  <c r="N470" i="12"/>
  <c r="N469" i="12"/>
  <c r="P468" i="12"/>
  <c r="N468" i="12"/>
  <c r="N467" i="12" s="1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I442" i="12" s="1"/>
  <c r="K442" i="12" s="1"/>
  <c r="K458" i="12"/>
  <c r="P456" i="12"/>
  <c r="L456" i="12"/>
  <c r="L454" i="12" s="1"/>
  <c r="O454" i="12" s="1"/>
  <c r="P455" i="12"/>
  <c r="O455" i="12"/>
  <c r="P454" i="12"/>
  <c r="N454" i="12"/>
  <c r="M454" i="12"/>
  <c r="N449" i="12"/>
  <c r="N446" i="12" s="1"/>
  <c r="L449" i="12"/>
  <c r="L447" i="12" s="1"/>
  <c r="P448" i="12"/>
  <c r="O448" i="12"/>
  <c r="N445" i="12"/>
  <c r="M445" i="12"/>
  <c r="L445" i="12"/>
  <c r="O445" i="12" s="1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N429" i="12"/>
  <c r="M429" i="12"/>
  <c r="P429" i="12" s="1"/>
  <c r="N424" i="12"/>
  <c r="N422" i="12" s="1"/>
  <c r="L424" i="12"/>
  <c r="P423" i="12"/>
  <c r="O423" i="12"/>
  <c r="O420" i="12"/>
  <c r="N420" i="12"/>
  <c r="M420" i="12"/>
  <c r="P420" i="12" s="1"/>
  <c r="L420" i="12"/>
  <c r="J418" i="12"/>
  <c r="K413" i="12"/>
  <c r="K412" i="12"/>
  <c r="N410" i="12"/>
  <c r="M410" i="12"/>
  <c r="P410" i="12" s="1"/>
  <c r="L410" i="12"/>
  <c r="L408" i="12" s="1"/>
  <c r="O408" i="12" s="1"/>
  <c r="P409" i="12"/>
  <c r="O409" i="12"/>
  <c r="N407" i="12"/>
  <c r="N405" i="12" s="1"/>
  <c r="M407" i="12"/>
  <c r="L407" i="12"/>
  <c r="P406" i="12"/>
  <c r="O406" i="12"/>
  <c r="N403" i="12"/>
  <c r="M403" i="12"/>
  <c r="P403" i="12" s="1"/>
  <c r="L403" i="12"/>
  <c r="O403" i="12" s="1"/>
  <c r="K401" i="12"/>
  <c r="J401" i="12"/>
  <c r="I401" i="12"/>
  <c r="K400" i="12"/>
  <c r="K399" i="12"/>
  <c r="N397" i="12"/>
  <c r="N395" i="12" s="1"/>
  <c r="M397" i="12"/>
  <c r="P397" i="12" s="1"/>
  <c r="L397" i="12"/>
  <c r="L395" i="12" s="1"/>
  <c r="O395" i="12" s="1"/>
  <c r="P396" i="12"/>
  <c r="O396" i="12"/>
  <c r="N394" i="12"/>
  <c r="N392" i="12" s="1"/>
  <c r="M394" i="12"/>
  <c r="P394" i="12" s="1"/>
  <c r="L394" i="12"/>
  <c r="O394" i="12" s="1"/>
  <c r="P393" i="12"/>
  <c r="O393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N348" i="12" s="1"/>
  <c r="M350" i="12"/>
  <c r="L350" i="12"/>
  <c r="L348" i="12" s="1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M336" i="12"/>
  <c r="P336" i="12" s="1"/>
  <c r="L336" i="12"/>
  <c r="P335" i="12"/>
  <c r="O335" i="12"/>
  <c r="N333" i="12"/>
  <c r="N331" i="12" s="1"/>
  <c r="M333" i="12"/>
  <c r="L333" i="12"/>
  <c r="P332" i="12"/>
  <c r="O332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L320" i="12"/>
  <c r="P319" i="12"/>
  <c r="O319" i="12"/>
  <c r="O316" i="12"/>
  <c r="N316" i="12"/>
  <c r="M316" i="12"/>
  <c r="P316" i="12" s="1"/>
  <c r="L316" i="12"/>
  <c r="J314" i="12"/>
  <c r="I312" i="12"/>
  <c r="K312" i="12" s="1"/>
  <c r="I311" i="12"/>
  <c r="K311" i="12" s="1"/>
  <c r="I310" i="12"/>
  <c r="K310" i="12" s="1"/>
  <c r="I309" i="12"/>
  <c r="I297" i="12" s="1"/>
  <c r="K297" i="12" s="1"/>
  <c r="N306" i="12"/>
  <c r="N304" i="12" s="1"/>
  <c r="M306" i="12"/>
  <c r="P306" i="12" s="1"/>
  <c r="L306" i="12"/>
  <c r="P305" i="12"/>
  <c r="O305" i="12"/>
  <c r="N303" i="12"/>
  <c r="M303" i="12"/>
  <c r="L303" i="12"/>
  <c r="L301" i="12" s="1"/>
  <c r="P302" i="12"/>
  <c r="O302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I276" i="12" s="1"/>
  <c r="K276" i="12" s="1"/>
  <c r="N285" i="12"/>
  <c r="N283" i="12" s="1"/>
  <c r="M285" i="12"/>
  <c r="P285" i="12" s="1"/>
  <c r="L285" i="12"/>
  <c r="L283" i="12" s="1"/>
  <c r="O283" i="12" s="1"/>
  <c r="P284" i="12"/>
  <c r="O284" i="12"/>
  <c r="N282" i="12"/>
  <c r="N280" i="12" s="1"/>
  <c r="M282" i="12"/>
  <c r="L282" i="12"/>
  <c r="L280" i="12" s="1"/>
  <c r="O280" i="12" s="1"/>
  <c r="P281" i="12"/>
  <c r="O281" i="12"/>
  <c r="P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P268" i="12"/>
  <c r="O268" i="12"/>
  <c r="N266" i="12"/>
  <c r="M266" i="12"/>
  <c r="L266" i="12"/>
  <c r="P265" i="12"/>
  <c r="O265" i="12"/>
  <c r="O262" i="12"/>
  <c r="N262" i="12"/>
  <c r="M262" i="12"/>
  <c r="L262" i="12"/>
  <c r="J260" i="12"/>
  <c r="K258" i="12"/>
  <c r="K257" i="12"/>
  <c r="I248" i="12"/>
  <c r="K248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J237" i="12"/>
  <c r="J236" i="12"/>
  <c r="I236" i="12"/>
  <c r="J235" i="12"/>
  <c r="I235" i="12"/>
  <c r="K235" i="12" s="1"/>
  <c r="J233" i="12"/>
  <c r="N231" i="12"/>
  <c r="N230" i="12"/>
  <c r="N229" i="12"/>
  <c r="N228" i="12"/>
  <c r="J226" i="12"/>
  <c r="J180" i="12" s="1"/>
  <c r="I225" i="12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P188" i="12"/>
  <c r="O188" i="12"/>
  <c r="N186" i="12"/>
  <c r="M186" i="12"/>
  <c r="L186" i="12"/>
  <c r="P185" i="12"/>
  <c r="O185" i="12"/>
  <c r="O182" i="12"/>
  <c r="N182" i="12"/>
  <c r="M182" i="12"/>
  <c r="P182" i="12" s="1"/>
  <c r="L182" i="12"/>
  <c r="J177" i="12"/>
  <c r="I176" i="12"/>
  <c r="J174" i="12"/>
  <c r="J164" i="12" s="1"/>
  <c r="N173" i="12"/>
  <c r="N171" i="12" s="1"/>
  <c r="M173" i="12"/>
  <c r="P173" i="12" s="1"/>
  <c r="L173" i="12"/>
  <c r="P172" i="12"/>
  <c r="O172" i="12"/>
  <c r="N170" i="12"/>
  <c r="N168" i="12" s="1"/>
  <c r="M170" i="12"/>
  <c r="L170" i="12"/>
  <c r="P169" i="12"/>
  <c r="O169" i="12"/>
  <c r="O166" i="12"/>
  <c r="N166" i="12"/>
  <c r="M166" i="12"/>
  <c r="P166" i="12" s="1"/>
  <c r="L166" i="12"/>
  <c r="I159" i="12"/>
  <c r="N157" i="12"/>
  <c r="N155" i="12" s="1"/>
  <c r="M157" i="12"/>
  <c r="P157" i="12" s="1"/>
  <c r="L157" i="12"/>
  <c r="O157" i="12" s="1"/>
  <c r="P156" i="12"/>
  <c r="O156" i="12"/>
  <c r="N154" i="12"/>
  <c r="M154" i="12"/>
  <c r="M152" i="12" s="1"/>
  <c r="L154" i="12"/>
  <c r="O154" i="12" s="1"/>
  <c r="P153" i="12"/>
  <c r="O153" i="12"/>
  <c r="O150" i="12"/>
  <c r="N150" i="12"/>
  <c r="M150" i="12"/>
  <c r="L150" i="12"/>
  <c r="J148" i="12"/>
  <c r="I146" i="12"/>
  <c r="I145" i="12"/>
  <c r="I143" i="12" s="1"/>
  <c r="I144" i="12"/>
  <c r="N140" i="12"/>
  <c r="M140" i="12"/>
  <c r="L140" i="12"/>
  <c r="P139" i="12"/>
  <c r="O139" i="12"/>
  <c r="N137" i="12"/>
  <c r="M137" i="12"/>
  <c r="L137" i="12"/>
  <c r="L135" i="12" s="1"/>
  <c r="P136" i="12"/>
  <c r="O136" i="12"/>
  <c r="P133" i="12"/>
  <c r="N133" i="12"/>
  <c r="M133" i="12"/>
  <c r="L133" i="12"/>
  <c r="O133" i="12" s="1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P120" i="12"/>
  <c r="O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J98" i="12"/>
  <c r="J86" i="12" s="1"/>
  <c r="I98" i="12"/>
  <c r="I86" i="12" s="1"/>
  <c r="N96" i="12"/>
  <c r="N94" i="12" s="1"/>
  <c r="M96" i="12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O89" i="12"/>
  <c r="N89" i="12"/>
  <c r="M89" i="12"/>
  <c r="P89" i="12" s="1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L74" i="12"/>
  <c r="P73" i="12"/>
  <c r="O73" i="12"/>
  <c r="N71" i="12"/>
  <c r="M71" i="12"/>
  <c r="L71" i="12"/>
  <c r="L69" i="12" s="1"/>
  <c r="O69" i="12" s="1"/>
  <c r="P70" i="12"/>
  <c r="O70" i="12"/>
  <c r="P67" i="12"/>
  <c r="N67" i="12"/>
  <c r="M67" i="12"/>
  <c r="L67" i="12"/>
  <c r="O67" i="12" s="1"/>
  <c r="J64" i="12"/>
  <c r="N61" i="12"/>
  <c r="M61" i="12"/>
  <c r="P61" i="12" s="1"/>
  <c r="L61" i="12"/>
  <c r="O61" i="12" s="1"/>
  <c r="P60" i="12"/>
  <c r="O60" i="12"/>
  <c r="N58" i="12"/>
  <c r="N56" i="12" s="1"/>
  <c r="M58" i="12"/>
  <c r="L58" i="12"/>
  <c r="P57" i="12"/>
  <c r="O57" i="12"/>
  <c r="O54" i="12"/>
  <c r="N54" i="12"/>
  <c r="M54" i="12"/>
  <c r="L54" i="12"/>
  <c r="N49" i="12"/>
  <c r="N47" i="12" s="1"/>
  <c r="M49" i="12"/>
  <c r="M47" i="12" s="1"/>
  <c r="P47" i="12" s="1"/>
  <c r="L49" i="12"/>
  <c r="P48" i="12"/>
  <c r="O48" i="12"/>
  <c r="N46" i="12"/>
  <c r="N44" i="12" s="1"/>
  <c r="M46" i="12"/>
  <c r="M44" i="12" s="1"/>
  <c r="L46" i="12"/>
  <c r="P45" i="12"/>
  <c r="O45" i="12"/>
  <c r="O42" i="12"/>
  <c r="N42" i="12"/>
  <c r="M42" i="12"/>
  <c r="P42" i="12" s="1"/>
  <c r="L42" i="12"/>
  <c r="P36" i="12"/>
  <c r="N36" i="12"/>
  <c r="M36" i="12"/>
  <c r="M34" i="12" s="1"/>
  <c r="P34" i="12" s="1"/>
  <c r="P35" i="12"/>
  <c r="O35" i="12"/>
  <c r="N35" i="12"/>
  <c r="M35" i="12"/>
  <c r="L35" i="12"/>
  <c r="N34" i="12"/>
  <c r="N33" i="12"/>
  <c r="N30" i="12" s="1"/>
  <c r="N32" i="12"/>
  <c r="N29" i="12" s="1"/>
  <c r="N28" i="12" s="1"/>
  <c r="M32" i="12"/>
  <c r="L32" i="12"/>
  <c r="O32" i="12" s="1"/>
  <c r="O29" i="12"/>
  <c r="L29" i="12"/>
  <c r="O25" i="12"/>
  <c r="N25" i="12"/>
  <c r="M25" i="12"/>
  <c r="L25" i="12"/>
  <c r="P22" i="12"/>
  <c r="N22" i="12"/>
  <c r="M22" i="12"/>
  <c r="L22" i="12"/>
  <c r="L19" i="12" s="1"/>
  <c r="M19" i="12"/>
  <c r="P19" i="12" s="1"/>
  <c r="N15" i="12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N33" i="11" s="1"/>
  <c r="L791" i="11"/>
  <c r="L789" i="11" s="1"/>
  <c r="O789" i="11" s="1"/>
  <c r="P790" i="11"/>
  <c r="O790" i="11"/>
  <c r="M789" i="11"/>
  <c r="P789" i="11" s="1"/>
  <c r="M788" i="11"/>
  <c r="P788" i="11" s="1"/>
  <c r="N787" i="11"/>
  <c r="M787" i="11"/>
  <c r="L787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P773" i="11"/>
  <c r="O773" i="11"/>
  <c r="N773" i="11"/>
  <c r="M773" i="11"/>
  <c r="L773" i="11"/>
  <c r="O772" i="11"/>
  <c r="N772" i="11"/>
  <c r="M772" i="11"/>
  <c r="P772" i="11" s="1"/>
  <c r="L772" i="11"/>
  <c r="N771" i="11"/>
  <c r="N770" i="11" s="1"/>
  <c r="M771" i="11"/>
  <c r="P771" i="11" s="1"/>
  <c r="L771" i="11"/>
  <c r="O771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P757" i="11"/>
  <c r="O757" i="11"/>
  <c r="N757" i="11"/>
  <c r="M757" i="11"/>
  <c r="L757" i="11"/>
  <c r="O756" i="11"/>
  <c r="N756" i="11"/>
  <c r="M756" i="11"/>
  <c r="P756" i="11" s="1"/>
  <c r="L756" i="11"/>
  <c r="N755" i="11"/>
  <c r="N754" i="11" s="1"/>
  <c r="M755" i="11"/>
  <c r="P755" i="11" s="1"/>
  <c r="L755" i="11"/>
  <c r="O755" i="11" s="1"/>
  <c r="M754" i="11"/>
  <c r="P754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P740" i="11"/>
  <c r="O740" i="11"/>
  <c r="N740" i="11"/>
  <c r="M740" i="11"/>
  <c r="L740" i="11"/>
  <c r="O739" i="11"/>
  <c r="N739" i="11"/>
  <c r="M739" i="11"/>
  <c r="P739" i="11" s="1"/>
  <c r="L739" i="11"/>
  <c r="N738" i="11"/>
  <c r="N737" i="11" s="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L687" i="11" s="1"/>
  <c r="O687" i="11" s="1"/>
  <c r="N688" i="11"/>
  <c r="M688" i="11"/>
  <c r="P688" i="11" s="1"/>
  <c r="N687" i="11"/>
  <c r="M687" i="11"/>
  <c r="P687" i="11" s="1"/>
  <c r="N686" i="1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4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P656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8" i="11"/>
  <c r="N637" i="11"/>
  <c r="N634" i="11"/>
  <c r="L634" i="11"/>
  <c r="P633" i="11"/>
  <c r="O633" i="11"/>
  <c r="N632" i="11"/>
  <c r="N631" i="11"/>
  <c r="O630" i="11"/>
  <c r="N630" i="11"/>
  <c r="M630" i="11"/>
  <c r="P630" i="11" s="1"/>
  <c r="L630" i="11"/>
  <c r="N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2" i="11" s="1"/>
  <c r="J596" i="11"/>
  <c r="J595" i="11"/>
  <c r="I594" i="11"/>
  <c r="I593" i="11"/>
  <c r="J583" i="11"/>
  <c r="J577" i="11" s="1"/>
  <c r="J582" i="11"/>
  <c r="I577" i="11"/>
  <c r="J576" i="11"/>
  <c r="J559" i="11" s="1"/>
  <c r="J543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N545" i="11" s="1"/>
  <c r="M555" i="11"/>
  <c r="P555" i="11" s="1"/>
  <c r="N553" i="11"/>
  <c r="N552" i="11"/>
  <c r="N551" i="11"/>
  <c r="N549" i="11" s="1"/>
  <c r="L549" i="11"/>
  <c r="M549" i="11" s="1"/>
  <c r="P548" i="11"/>
  <c r="O548" i="11"/>
  <c r="P545" i="11"/>
  <c r="O545" i="11"/>
  <c r="M545" i="11"/>
  <c r="L545" i="11"/>
  <c r="I542" i="11"/>
  <c r="K542" i="11" s="1"/>
  <c r="I541" i="11"/>
  <c r="K541" i="11" s="1"/>
  <c r="I540" i="11"/>
  <c r="I539" i="11"/>
  <c r="K539" i="11" s="1"/>
  <c r="I538" i="11"/>
  <c r="K538" i="11" s="1"/>
  <c r="I537" i="11"/>
  <c r="P535" i="11"/>
  <c r="L535" i="11"/>
  <c r="P534" i="11"/>
  <c r="O534" i="11"/>
  <c r="P533" i="11"/>
  <c r="N533" i="11"/>
  <c r="M533" i="11"/>
  <c r="P528" i="11"/>
  <c r="N528" i="11"/>
  <c r="L528" i="11"/>
  <c r="P527" i="11"/>
  <c r="O527" i="11"/>
  <c r="P526" i="11"/>
  <c r="N526" i="11"/>
  <c r="M526" i="11"/>
  <c r="N525" i="11"/>
  <c r="M525" i="11"/>
  <c r="P525" i="11" s="1"/>
  <c r="N524" i="11"/>
  <c r="N523" i="11" s="1"/>
  <c r="M524" i="11"/>
  <c r="P524" i="11" s="1"/>
  <c r="L524" i="11"/>
  <c r="O524" i="11" s="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M505" i="11"/>
  <c r="P505" i="11" s="1"/>
  <c r="L505" i="11"/>
  <c r="O505" i="11" s="1"/>
  <c r="M504" i="11"/>
  <c r="P504" i="11" s="1"/>
  <c r="L504" i="11"/>
  <c r="O504" i="11" s="1"/>
  <c r="P503" i="11"/>
  <c r="N503" i="11"/>
  <c r="M503" i="11"/>
  <c r="L503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5" i="11"/>
  <c r="N473" i="11"/>
  <c r="N472" i="11"/>
  <c r="N470" i="11" s="1"/>
  <c r="L472" i="11"/>
  <c r="M472" i="11" s="1"/>
  <c r="M469" i="11" s="1"/>
  <c r="P471" i="11"/>
  <c r="O471" i="11"/>
  <c r="N469" i="11"/>
  <c r="O468" i="11"/>
  <c r="N468" i="11"/>
  <c r="M468" i="11"/>
  <c r="P468" i="11" s="1"/>
  <c r="L468" i="11"/>
  <c r="N467" i="11"/>
  <c r="J466" i="11"/>
  <c r="I466" i="11"/>
  <c r="K466" i="11" s="1"/>
  <c r="J465" i="11"/>
  <c r="I465" i="11"/>
  <c r="I464" i="11"/>
  <c r="I463" i="11"/>
  <c r="I462" i="11"/>
  <c r="K462" i="11" s="1"/>
  <c r="I460" i="11"/>
  <c r="K460" i="11" s="1"/>
  <c r="K458" i="11"/>
  <c r="P456" i="11"/>
  <c r="L456" i="1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P446" i="11"/>
  <c r="N446" i="11"/>
  <c r="M446" i="11"/>
  <c r="P445" i="11"/>
  <c r="O445" i="11"/>
  <c r="N445" i="11"/>
  <c r="M445" i="11"/>
  <c r="L445" i="11"/>
  <c r="N444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O431" i="11" s="1"/>
  <c r="P430" i="11"/>
  <c r="O430" i="11"/>
  <c r="N429" i="11"/>
  <c r="M429" i="11"/>
  <c r="P429" i="11" s="1"/>
  <c r="N428" i="11"/>
  <c r="N424" i="11" s="1"/>
  <c r="N421" i="11" s="1"/>
  <c r="N419" i="11" s="1"/>
  <c r="L424" i="11"/>
  <c r="P423" i="11"/>
  <c r="O423" i="11"/>
  <c r="N422" i="11"/>
  <c r="P420" i="11"/>
  <c r="N420" i="11"/>
  <c r="M420" i="11"/>
  <c r="L420" i="11"/>
  <c r="J418" i="11"/>
  <c r="K413" i="11"/>
  <c r="K412" i="11"/>
  <c r="N410" i="11"/>
  <c r="N408" i="11" s="1"/>
  <c r="M410" i="11"/>
  <c r="L410" i="11"/>
  <c r="P409" i="11"/>
  <c r="O409" i="11"/>
  <c r="N407" i="11"/>
  <c r="M407" i="11"/>
  <c r="P407" i="11" s="1"/>
  <c r="L407" i="11"/>
  <c r="O407" i="11" s="1"/>
  <c r="P406" i="11"/>
  <c r="O406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N392" i="11" s="1"/>
  <c r="M394" i="11"/>
  <c r="L394" i="1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L350" i="1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P335" i="11"/>
  <c r="O335" i="11"/>
  <c r="N333" i="11"/>
  <c r="N331" i="11" s="1"/>
  <c r="M333" i="11"/>
  <c r="L333" i="11"/>
  <c r="L331" i="11" s="1"/>
  <c r="P332" i="11"/>
  <c r="O332" i="11"/>
  <c r="P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L321" i="11" s="1"/>
  <c r="O321" i="11" s="1"/>
  <c r="P322" i="11"/>
  <c r="O322" i="11"/>
  <c r="N320" i="11"/>
  <c r="M320" i="11"/>
  <c r="L320" i="11"/>
  <c r="P319" i="11"/>
  <c r="O319" i="11"/>
  <c r="N316" i="11"/>
  <c r="M316" i="11"/>
  <c r="P316" i="11" s="1"/>
  <c r="L316" i="11"/>
  <c r="O316" i="11" s="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P303" i="11" s="1"/>
  <c r="L303" i="11"/>
  <c r="L301" i="11" s="1"/>
  <c r="O301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N285" i="11"/>
  <c r="N283" i="11" s="1"/>
  <c r="M285" i="11"/>
  <c r="L285" i="11"/>
  <c r="P284" i="11"/>
  <c r="O284" i="11"/>
  <c r="N282" i="11"/>
  <c r="M282" i="11"/>
  <c r="P282" i="11" s="1"/>
  <c r="L282" i="11"/>
  <c r="O282" i="11" s="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L269" i="11"/>
  <c r="O269" i="11" s="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N227" i="11" s="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L189" i="11"/>
  <c r="P188" i="11"/>
  <c r="O188" i="11"/>
  <c r="N186" i="11"/>
  <c r="M186" i="11"/>
  <c r="M184" i="11" s="1"/>
  <c r="L186" i="11"/>
  <c r="L184" i="11" s="1"/>
  <c r="P185" i="11"/>
  <c r="O185" i="11"/>
  <c r="O182" i="11"/>
  <c r="N182" i="11"/>
  <c r="M182" i="11"/>
  <c r="L182" i="11"/>
  <c r="K180" i="11"/>
  <c r="J177" i="11"/>
  <c r="J164" i="11" s="1"/>
  <c r="I176" i="11"/>
  <c r="K176" i="11" s="1"/>
  <c r="J174" i="11"/>
  <c r="N173" i="11"/>
  <c r="N171" i="11" s="1"/>
  <c r="M173" i="11"/>
  <c r="L173" i="11"/>
  <c r="P172" i="11"/>
  <c r="O172" i="11"/>
  <c r="N170" i="11"/>
  <c r="M170" i="11"/>
  <c r="L170" i="11"/>
  <c r="L168" i="11" s="1"/>
  <c r="P169" i="11"/>
  <c r="O169" i="11"/>
  <c r="P166" i="11"/>
  <c r="O166" i="11"/>
  <c r="N166" i="11"/>
  <c r="M166" i="11"/>
  <c r="L166" i="11"/>
  <c r="I159" i="11"/>
  <c r="N157" i="11"/>
  <c r="N155" i="11" s="1"/>
  <c r="M157" i="11"/>
  <c r="L157" i="11"/>
  <c r="P156" i="11"/>
  <c r="O156" i="11"/>
  <c r="N154" i="11"/>
  <c r="N152" i="11" s="1"/>
  <c r="M154" i="11"/>
  <c r="M152" i="11" s="1"/>
  <c r="L154" i="11"/>
  <c r="P153" i="11"/>
  <c r="O153" i="11"/>
  <c r="P150" i="11"/>
  <c r="N150" i="11"/>
  <c r="M150" i="11"/>
  <c r="L150" i="11"/>
  <c r="J148" i="11"/>
  <c r="I146" i="11"/>
  <c r="K146" i="11" s="1"/>
  <c r="I145" i="11"/>
  <c r="I144" i="11"/>
  <c r="N140" i="11"/>
  <c r="N138" i="11" s="1"/>
  <c r="M140" i="11"/>
  <c r="L140" i="11"/>
  <c r="L138" i="11" s="1"/>
  <c r="O138" i="11" s="1"/>
  <c r="P139" i="11"/>
  <c r="O139" i="11"/>
  <c r="N137" i="11"/>
  <c r="M137" i="11"/>
  <c r="P137" i="11" s="1"/>
  <c r="L137" i="1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M124" i="11"/>
  <c r="P124" i="11" s="1"/>
  <c r="L124" i="11"/>
  <c r="L122" i="11" s="1"/>
  <c r="O122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I87" i="11" s="1"/>
  <c r="K87" i="11" s="1"/>
  <c r="J98" i="11"/>
  <c r="I98" i="11"/>
  <c r="I86" i="11" s="1"/>
  <c r="K86" i="11" s="1"/>
  <c r="N96" i="11"/>
  <c r="N94" i="11" s="1"/>
  <c r="M96" i="11"/>
  <c r="L96" i="11"/>
  <c r="P95" i="11"/>
  <c r="O95" i="11"/>
  <c r="N93" i="11"/>
  <c r="M93" i="11"/>
  <c r="M91" i="11" s="1"/>
  <c r="L93" i="11"/>
  <c r="L91" i="11" s="1"/>
  <c r="P92" i="11"/>
  <c r="O92" i="11"/>
  <c r="P89" i="11"/>
  <c r="O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N74" i="11"/>
  <c r="N72" i="11" s="1"/>
  <c r="M74" i="11"/>
  <c r="M72" i="11" s="1"/>
  <c r="P72" i="11" s="1"/>
  <c r="L74" i="11"/>
  <c r="P73" i="11"/>
  <c r="O73" i="11"/>
  <c r="N71" i="11"/>
  <c r="M71" i="11"/>
  <c r="P71" i="11" s="1"/>
  <c r="L71" i="11"/>
  <c r="P70" i="11"/>
  <c r="O70" i="11"/>
  <c r="O67" i="11"/>
  <c r="N67" i="11"/>
  <c r="M67" i="11"/>
  <c r="P67" i="11" s="1"/>
  <c r="L67" i="11"/>
  <c r="J65" i="11"/>
  <c r="J64" i="11"/>
  <c r="N61" i="11"/>
  <c r="N59" i="11" s="1"/>
  <c r="M61" i="11"/>
  <c r="P61" i="11" s="1"/>
  <c r="L61" i="11"/>
  <c r="O61" i="11" s="1"/>
  <c r="P60" i="11"/>
  <c r="O60" i="11"/>
  <c r="N58" i="11"/>
  <c r="N56" i="11" s="1"/>
  <c r="M58" i="11"/>
  <c r="L58" i="11"/>
  <c r="L56" i="11" s="1"/>
  <c r="P57" i="11"/>
  <c r="O57" i="11"/>
  <c r="P54" i="11"/>
  <c r="O54" i="11"/>
  <c r="N54" i="11"/>
  <c r="M54" i="11"/>
  <c r="L54" i="11"/>
  <c r="N49" i="11"/>
  <c r="N47" i="11" s="1"/>
  <c r="M49" i="11"/>
  <c r="L49" i="11"/>
  <c r="P48" i="11"/>
  <c r="O48" i="11"/>
  <c r="N46" i="11"/>
  <c r="M46" i="11"/>
  <c r="L46" i="11"/>
  <c r="L44" i="11" s="1"/>
  <c r="P45" i="11"/>
  <c r="O45" i="11"/>
  <c r="N42" i="11"/>
  <c r="M42" i="11"/>
  <c r="P42" i="11" s="1"/>
  <c r="L42" i="11"/>
  <c r="O42" i="11" s="1"/>
  <c r="N36" i="11"/>
  <c r="M36" i="11"/>
  <c r="P36" i="11" s="1"/>
  <c r="P35" i="11"/>
  <c r="N35" i="11"/>
  <c r="M35" i="11"/>
  <c r="L35" i="11"/>
  <c r="N34" i="11"/>
  <c r="O32" i="11"/>
  <c r="N32" i="11"/>
  <c r="M32" i="11"/>
  <c r="L32" i="11"/>
  <c r="N29" i="11"/>
  <c r="N25" i="11"/>
  <c r="M25" i="11"/>
  <c r="M19" i="11" s="1"/>
  <c r="L25" i="11"/>
  <c r="L15" i="11" s="1"/>
  <c r="P22" i="11"/>
  <c r="N22" i="11"/>
  <c r="M22" i="11"/>
  <c r="L22" i="11"/>
  <c r="O22" i="11" s="1"/>
  <c r="N15" i="11"/>
  <c r="M12" i="11"/>
  <c r="L12" i="11"/>
  <c r="K236" i="12" l="1"/>
  <c r="L546" i="20"/>
  <c r="O546" i="20" s="1"/>
  <c r="L429" i="21"/>
  <c r="O429" i="21" s="1"/>
  <c r="K235" i="13"/>
  <c r="N227" i="15"/>
  <c r="K236" i="15"/>
  <c r="N227" i="16"/>
  <c r="L469" i="16"/>
  <c r="O469" i="16" s="1"/>
  <c r="L658" i="16"/>
  <c r="O658" i="16" s="1"/>
  <c r="L533" i="12"/>
  <c r="O533" i="12" s="1"/>
  <c r="L447" i="11"/>
  <c r="O447" i="11" s="1"/>
  <c r="N227" i="19"/>
  <c r="L555" i="15"/>
  <c r="O555" i="15" s="1"/>
  <c r="L470" i="22"/>
  <c r="O470" i="22" s="1"/>
  <c r="J226" i="21"/>
  <c r="J180" i="21" s="1"/>
  <c r="L533" i="14"/>
  <c r="O533" i="14" s="1"/>
  <c r="L454" i="20"/>
  <c r="O454" i="20" s="1"/>
  <c r="K826" i="22"/>
  <c r="N227" i="22"/>
  <c r="N279" i="21"/>
  <c r="N277" i="21" s="1"/>
  <c r="L300" i="21"/>
  <c r="L298" i="21" s="1"/>
  <c r="M138" i="22"/>
  <c r="P138" i="22" s="1"/>
  <c r="M168" i="22"/>
  <c r="P168" i="22" s="1"/>
  <c r="M347" i="22"/>
  <c r="M72" i="22"/>
  <c r="P72" i="22" s="1"/>
  <c r="N300" i="20"/>
  <c r="N298" i="20" s="1"/>
  <c r="L317" i="22"/>
  <c r="O317" i="22" s="1"/>
  <c r="M348" i="22"/>
  <c r="P348" i="22" s="1"/>
  <c r="M187" i="22"/>
  <c r="P187" i="22" s="1"/>
  <c r="J722" i="22"/>
  <c r="K722" i="22" s="1"/>
  <c r="L263" i="22"/>
  <c r="L261" i="22" s="1"/>
  <c r="M90" i="22"/>
  <c r="M88" i="22" s="1"/>
  <c r="P351" i="22"/>
  <c r="P353" i="22"/>
  <c r="N317" i="21"/>
  <c r="N315" i="21" s="1"/>
  <c r="N330" i="21"/>
  <c r="N328" i="21" s="1"/>
  <c r="N347" i="22"/>
  <c r="N345" i="22" s="1"/>
  <c r="P186" i="22"/>
  <c r="L230" i="22"/>
  <c r="M279" i="21"/>
  <c r="M277" i="21" s="1"/>
  <c r="L267" i="22"/>
  <c r="O267" i="22" s="1"/>
  <c r="K823" i="21"/>
  <c r="K826" i="21"/>
  <c r="L168" i="22"/>
  <c r="O168" i="22" s="1"/>
  <c r="L217" i="22"/>
  <c r="O217" i="22" s="1"/>
  <c r="L546" i="18"/>
  <c r="L544" i="18" s="1"/>
  <c r="O544" i="18" s="1"/>
  <c r="L470" i="20"/>
  <c r="O470" i="20" s="1"/>
  <c r="L138" i="22"/>
  <c r="O138" i="22" s="1"/>
  <c r="I434" i="22"/>
  <c r="I418" i="22" s="1"/>
  <c r="K418" i="22" s="1"/>
  <c r="K594" i="20"/>
  <c r="L171" i="22"/>
  <c r="O171" i="22" s="1"/>
  <c r="I276" i="22"/>
  <c r="K276" i="22" s="1"/>
  <c r="L446" i="22"/>
  <c r="O446" i="22" s="1"/>
  <c r="I785" i="22"/>
  <c r="K785" i="22" s="1"/>
  <c r="L789" i="12"/>
  <c r="O789" i="12" s="1"/>
  <c r="K725" i="21"/>
  <c r="L657" i="22"/>
  <c r="O657" i="22" s="1"/>
  <c r="N121" i="20"/>
  <c r="N119" i="20" s="1"/>
  <c r="N55" i="21"/>
  <c r="N53" i="21" s="1"/>
  <c r="K821" i="21"/>
  <c r="K827" i="21"/>
  <c r="K723" i="22"/>
  <c r="N404" i="21"/>
  <c r="N402" i="21" s="1"/>
  <c r="N90" i="22"/>
  <c r="N88" i="22" s="1"/>
  <c r="L121" i="22"/>
  <c r="O121" i="22" s="1"/>
  <c r="M330" i="22"/>
  <c r="M328" i="22" s="1"/>
  <c r="J327" i="22"/>
  <c r="K327" i="22" s="1"/>
  <c r="O350" i="22"/>
  <c r="O351" i="22"/>
  <c r="M392" i="22"/>
  <c r="P392" i="22" s="1"/>
  <c r="K576" i="22"/>
  <c r="M660" i="22"/>
  <c r="P660" i="22" s="1"/>
  <c r="L229" i="20"/>
  <c r="M59" i="22"/>
  <c r="P59" i="22" s="1"/>
  <c r="M134" i="22"/>
  <c r="P134" i="22" s="1"/>
  <c r="P303" i="22"/>
  <c r="L658" i="22"/>
  <c r="O658" i="22" s="1"/>
  <c r="L688" i="22"/>
  <c r="O688" i="22" s="1"/>
  <c r="L421" i="22"/>
  <c r="L419" i="22" s="1"/>
  <c r="K651" i="21"/>
  <c r="L90" i="22"/>
  <c r="L88" i="22" s="1"/>
  <c r="M167" i="22"/>
  <c r="M165" i="22" s="1"/>
  <c r="P165" i="22" s="1"/>
  <c r="N151" i="20"/>
  <c r="N149" i="20" s="1"/>
  <c r="M122" i="22"/>
  <c r="P122" i="22" s="1"/>
  <c r="L135" i="22"/>
  <c r="O135" i="22" s="1"/>
  <c r="N134" i="21"/>
  <c r="N132" i="21" s="1"/>
  <c r="L229" i="21"/>
  <c r="N347" i="21"/>
  <c r="N345" i="21" s="1"/>
  <c r="M392" i="21"/>
  <c r="P392" i="21" s="1"/>
  <c r="M395" i="21"/>
  <c r="P395" i="21" s="1"/>
  <c r="M125" i="22"/>
  <c r="P125" i="22" s="1"/>
  <c r="M135" i="22"/>
  <c r="P135" i="22" s="1"/>
  <c r="L788" i="22"/>
  <c r="M334" i="21"/>
  <c r="P334" i="21" s="1"/>
  <c r="P137" i="22"/>
  <c r="L152" i="22"/>
  <c r="O152" i="22" s="1"/>
  <c r="N183" i="22"/>
  <c r="N181" i="22" s="1"/>
  <c r="N279" i="22"/>
  <c r="N277" i="22" s="1"/>
  <c r="M405" i="22"/>
  <c r="P405" i="22" s="1"/>
  <c r="L47" i="22"/>
  <c r="O47" i="22" s="1"/>
  <c r="P93" i="22"/>
  <c r="O186" i="22"/>
  <c r="L183" i="22"/>
  <c r="O183" i="22" s="1"/>
  <c r="M318" i="22"/>
  <c r="P318" i="22" s="1"/>
  <c r="P46" i="21"/>
  <c r="M391" i="22"/>
  <c r="P391" i="22" s="1"/>
  <c r="K440" i="22"/>
  <c r="M55" i="22"/>
  <c r="M53" i="22" s="1"/>
  <c r="I112" i="22"/>
  <c r="K112" i="22" s="1"/>
  <c r="L122" i="22"/>
  <c r="O122" i="22" s="1"/>
  <c r="L187" i="22"/>
  <c r="O187" i="22" s="1"/>
  <c r="M183" i="22"/>
  <c r="M181" i="22" s="1"/>
  <c r="M334" i="22"/>
  <c r="P334" i="22" s="1"/>
  <c r="P336" i="22"/>
  <c r="M395" i="22"/>
  <c r="P395" i="22" s="1"/>
  <c r="P397" i="22"/>
  <c r="M408" i="22"/>
  <c r="P408" i="22" s="1"/>
  <c r="M549" i="22"/>
  <c r="K651" i="22"/>
  <c r="K672" i="22"/>
  <c r="N330" i="22"/>
  <c r="N328" i="22" s="1"/>
  <c r="O394" i="20"/>
  <c r="N90" i="21"/>
  <c r="N88" i="21" s="1"/>
  <c r="O350" i="21"/>
  <c r="J722" i="21"/>
  <c r="K722" i="21" s="1"/>
  <c r="M43" i="22"/>
  <c r="M41" i="22" s="1"/>
  <c r="L59" i="22"/>
  <c r="O59" i="22" s="1"/>
  <c r="O184" i="22"/>
  <c r="L198" i="22"/>
  <c r="O198" i="22" s="1"/>
  <c r="O285" i="22"/>
  <c r="L547" i="22"/>
  <c r="O547" i="22" s="1"/>
  <c r="M690" i="22"/>
  <c r="M687" i="22" s="1"/>
  <c r="P687" i="22" s="1"/>
  <c r="K827" i="22"/>
  <c r="L155" i="22"/>
  <c r="O155" i="22" s="1"/>
  <c r="L94" i="19"/>
  <c r="O94" i="19" s="1"/>
  <c r="P350" i="21"/>
  <c r="K825" i="21"/>
  <c r="K828" i="21"/>
  <c r="L43" i="22"/>
  <c r="L41" i="22" s="1"/>
  <c r="L69" i="22"/>
  <c r="O69" i="22" s="1"/>
  <c r="I77" i="22"/>
  <c r="I65" i="22" s="1"/>
  <c r="K65" i="22" s="1"/>
  <c r="L91" i="22"/>
  <c r="O91" i="22" s="1"/>
  <c r="L94" i="22"/>
  <c r="O94" i="22" s="1"/>
  <c r="I130" i="22"/>
  <c r="K130" i="22" s="1"/>
  <c r="P184" i="22"/>
  <c r="O189" i="22"/>
  <c r="I216" i="22"/>
  <c r="K216" i="22" s="1"/>
  <c r="O266" i="22"/>
  <c r="L280" i="22"/>
  <c r="O280" i="22" s="1"/>
  <c r="L301" i="22"/>
  <c r="O301" i="22" s="1"/>
  <c r="I442" i="22"/>
  <c r="K442" i="22" s="1"/>
  <c r="O791" i="22"/>
  <c r="K828" i="22"/>
  <c r="K100" i="21"/>
  <c r="K325" i="22"/>
  <c r="O46" i="21"/>
  <c r="L68" i="22"/>
  <c r="L66" i="22" s="1"/>
  <c r="O66" i="22" s="1"/>
  <c r="N167" i="22"/>
  <c r="N165" i="22" s="1"/>
  <c r="L238" i="22"/>
  <c r="O238" i="22" s="1"/>
  <c r="P266" i="22"/>
  <c r="K340" i="22"/>
  <c r="M404" i="22"/>
  <c r="P404" i="22" s="1"/>
  <c r="K174" i="22"/>
  <c r="I164" i="22"/>
  <c r="K164" i="22" s="1"/>
  <c r="M155" i="22"/>
  <c r="P155" i="22" s="1"/>
  <c r="N347" i="19"/>
  <c r="N345" i="19" s="1"/>
  <c r="M155" i="21"/>
  <c r="P155" i="21" s="1"/>
  <c r="L318" i="21"/>
  <c r="O318" i="21" s="1"/>
  <c r="O479" i="21"/>
  <c r="L23" i="22"/>
  <c r="L21" i="22" s="1"/>
  <c r="N26" i="22"/>
  <c r="L36" i="22"/>
  <c r="O36" i="22" s="1"/>
  <c r="M47" i="22"/>
  <c r="P47" i="22" s="1"/>
  <c r="O58" i="22"/>
  <c r="M69" i="22"/>
  <c r="P69" i="22" s="1"/>
  <c r="O74" i="22"/>
  <c r="M94" i="22"/>
  <c r="P94" i="22" s="1"/>
  <c r="K116" i="22"/>
  <c r="N121" i="22"/>
  <c r="N119" i="22" s="1"/>
  <c r="K176" i="22"/>
  <c r="I233" i="22"/>
  <c r="K233" i="22" s="1"/>
  <c r="M263" i="22"/>
  <c r="I275" i="22"/>
  <c r="K275" i="22" s="1"/>
  <c r="L279" i="22"/>
  <c r="M280" i="22"/>
  <c r="P280" i="22" s="1"/>
  <c r="P285" i="22"/>
  <c r="M300" i="22"/>
  <c r="M304" i="22"/>
  <c r="P304" i="22" s="1"/>
  <c r="M317" i="22"/>
  <c r="P317" i="22" s="1"/>
  <c r="L330" i="22"/>
  <c r="O331" i="22"/>
  <c r="O410" i="22"/>
  <c r="K537" i="22"/>
  <c r="O557" i="22"/>
  <c r="K700" i="22"/>
  <c r="K823" i="22"/>
  <c r="M94" i="21"/>
  <c r="P94" i="21" s="1"/>
  <c r="M23" i="22"/>
  <c r="M21" i="22" s="1"/>
  <c r="L56" i="22"/>
  <c r="K99" i="22"/>
  <c r="M151" i="22"/>
  <c r="P151" i="22" s="1"/>
  <c r="L209" i="22"/>
  <c r="O209" i="22" s="1"/>
  <c r="L231" i="22"/>
  <c r="N263" i="22"/>
  <c r="M279" i="22"/>
  <c r="N300" i="22"/>
  <c r="N298" i="22" s="1"/>
  <c r="N317" i="22"/>
  <c r="N315" i="22" s="1"/>
  <c r="J364" i="22"/>
  <c r="N391" i="22"/>
  <c r="N389" i="22" s="1"/>
  <c r="J537" i="22"/>
  <c r="J522" i="22" s="1"/>
  <c r="K675" i="22"/>
  <c r="K725" i="22"/>
  <c r="K824" i="22"/>
  <c r="M171" i="22"/>
  <c r="P171" i="22" s="1"/>
  <c r="L228" i="20"/>
  <c r="K369" i="21"/>
  <c r="K726" i="21"/>
  <c r="P49" i="22"/>
  <c r="N55" i="22"/>
  <c r="N53" i="22" s="1"/>
  <c r="M68" i="22"/>
  <c r="P68" i="22" s="1"/>
  <c r="I76" i="22"/>
  <c r="K76" i="22" s="1"/>
  <c r="P173" i="22"/>
  <c r="L229" i="22"/>
  <c r="L249" i="22"/>
  <c r="O249" i="22" s="1"/>
  <c r="L264" i="22"/>
  <c r="O264" i="22" s="1"/>
  <c r="O407" i="22"/>
  <c r="O447" i="22"/>
  <c r="K87" i="21"/>
  <c r="O152" i="21"/>
  <c r="I433" i="21"/>
  <c r="I417" i="21" s="1"/>
  <c r="N56" i="22"/>
  <c r="P56" i="22" s="1"/>
  <c r="M91" i="22"/>
  <c r="P91" i="22" s="1"/>
  <c r="L134" i="22"/>
  <c r="M152" i="22"/>
  <c r="P152" i="22" s="1"/>
  <c r="N151" i="22"/>
  <c r="N149" i="22" s="1"/>
  <c r="I208" i="22"/>
  <c r="K208" i="22" s="1"/>
  <c r="I260" i="22"/>
  <c r="K260" i="22" s="1"/>
  <c r="J288" i="22"/>
  <c r="J275" i="22" s="1"/>
  <c r="K309" i="22"/>
  <c r="M321" i="22"/>
  <c r="P321" i="22" s="1"/>
  <c r="P331" i="22"/>
  <c r="P333" i="22"/>
  <c r="L404" i="22"/>
  <c r="M449" i="22"/>
  <c r="M446" i="22" s="1"/>
  <c r="M444" i="22" s="1"/>
  <c r="N391" i="20"/>
  <c r="N389" i="20" s="1"/>
  <c r="L125" i="22"/>
  <c r="O125" i="22" s="1"/>
  <c r="N152" i="22"/>
  <c r="L334" i="22"/>
  <c r="O334" i="22" s="1"/>
  <c r="L348" i="22"/>
  <c r="O348" i="22" s="1"/>
  <c r="L395" i="22"/>
  <c r="O395" i="22" s="1"/>
  <c r="J433" i="22"/>
  <c r="J417" i="22" s="1"/>
  <c r="O449" i="22"/>
  <c r="L526" i="22"/>
  <c r="O526" i="22" s="1"/>
  <c r="L546" i="22"/>
  <c r="O546" i="22" s="1"/>
  <c r="K699" i="22"/>
  <c r="J721" i="22"/>
  <c r="K721" i="22" s="1"/>
  <c r="K825" i="22"/>
  <c r="K143" i="22"/>
  <c r="I131" i="22"/>
  <c r="K131" i="22" s="1"/>
  <c r="K700" i="20"/>
  <c r="K822" i="20"/>
  <c r="K825" i="20"/>
  <c r="K828" i="20"/>
  <c r="L33" i="21"/>
  <c r="L31" i="21" s="1"/>
  <c r="P173" i="21"/>
  <c r="P306" i="21"/>
  <c r="N348" i="21"/>
  <c r="P348" i="21" s="1"/>
  <c r="K365" i="21"/>
  <c r="L405" i="21"/>
  <c r="O405" i="21" s="1"/>
  <c r="I442" i="21"/>
  <c r="K442" i="21" s="1"/>
  <c r="L446" i="21"/>
  <c r="O446" i="21" s="1"/>
  <c r="L454" i="21"/>
  <c r="O454" i="21" s="1"/>
  <c r="L639" i="21"/>
  <c r="O639" i="21" s="1"/>
  <c r="K649" i="21"/>
  <c r="K708" i="21"/>
  <c r="K729" i="21"/>
  <c r="L788" i="21"/>
  <c r="P12" i="22"/>
  <c r="O19" i="22"/>
  <c r="O22" i="22"/>
  <c r="M26" i="22"/>
  <c r="O35" i="22"/>
  <c r="O93" i="22"/>
  <c r="K100" i="22"/>
  <c r="P133" i="22"/>
  <c r="K159" i="22"/>
  <c r="L167" i="22"/>
  <c r="O167" i="22" s="1"/>
  <c r="O58" i="21"/>
  <c r="P71" i="21"/>
  <c r="L209" i="21"/>
  <c r="O209" i="21" s="1"/>
  <c r="I248" i="21"/>
  <c r="K248" i="21" s="1"/>
  <c r="N23" i="22"/>
  <c r="N44" i="22"/>
  <c r="K98" i="22"/>
  <c r="I86" i="22"/>
  <c r="K86" i="22" s="1"/>
  <c r="P61" i="21"/>
  <c r="K379" i="21"/>
  <c r="K701" i="21"/>
  <c r="K723" i="21"/>
  <c r="L12" i="22"/>
  <c r="O29" i="22"/>
  <c r="N43" i="22"/>
  <c r="N41" i="22" s="1"/>
  <c r="O46" i="22"/>
  <c r="P58" i="22"/>
  <c r="K80" i="22"/>
  <c r="K145" i="22"/>
  <c r="L151" i="22"/>
  <c r="O44" i="21"/>
  <c r="P46" i="22"/>
  <c r="P54" i="22"/>
  <c r="N134" i="22"/>
  <c r="N132" i="22" s="1"/>
  <c r="N55" i="20"/>
  <c r="N53" i="20" s="1"/>
  <c r="M44" i="21"/>
  <c r="P44" i="21" s="1"/>
  <c r="O59" i="21"/>
  <c r="M135" i="21"/>
  <c r="P135" i="21" s="1"/>
  <c r="M263" i="21"/>
  <c r="M261" i="21" s="1"/>
  <c r="L347" i="21"/>
  <c r="L345" i="21" s="1"/>
  <c r="K359" i="21"/>
  <c r="M15" i="22"/>
  <c r="M19" i="22"/>
  <c r="M34" i="22"/>
  <c r="P34" i="22" s="1"/>
  <c r="L26" i="22"/>
  <c r="L55" i="22"/>
  <c r="N68" i="22"/>
  <c r="N66" i="22" s="1"/>
  <c r="M121" i="22"/>
  <c r="P121" i="22" s="1"/>
  <c r="I190" i="22"/>
  <c r="K190" i="22" s="1"/>
  <c r="L125" i="20"/>
  <c r="O125" i="20" s="1"/>
  <c r="O331" i="20"/>
  <c r="M122" i="21"/>
  <c r="P122" i="21" s="1"/>
  <c r="N135" i="21"/>
  <c r="O306" i="21"/>
  <c r="L555" i="21"/>
  <c r="O555" i="21" s="1"/>
  <c r="K577" i="21"/>
  <c r="I785" i="21"/>
  <c r="K785" i="21" s="1"/>
  <c r="P32" i="22"/>
  <c r="M29" i="22"/>
  <c r="J143" i="22"/>
  <c r="J131" i="22" s="1"/>
  <c r="L33" i="22"/>
  <c r="I197" i="22"/>
  <c r="K197" i="22" s="1"/>
  <c r="L228" i="22"/>
  <c r="M264" i="22"/>
  <c r="P264" i="22" s="1"/>
  <c r="M267" i="22"/>
  <c r="P267" i="22" s="1"/>
  <c r="L300" i="22"/>
  <c r="P316" i="22"/>
  <c r="O320" i="22"/>
  <c r="L318" i="22"/>
  <c r="O318" i="22" s="1"/>
  <c r="K338" i="22"/>
  <c r="P390" i="22"/>
  <c r="N424" i="22"/>
  <c r="O424" i="22" s="1"/>
  <c r="O479" i="22"/>
  <c r="L469" i="22"/>
  <c r="O469" i="22" s="1"/>
  <c r="N526" i="22"/>
  <c r="J592" i="22"/>
  <c r="K593" i="22"/>
  <c r="N737" i="22"/>
  <c r="O306" i="22"/>
  <c r="P329" i="22"/>
  <c r="I364" i="22"/>
  <c r="K364" i="22" s="1"/>
  <c r="L391" i="22"/>
  <c r="N404" i="22"/>
  <c r="N402" i="22" s="1"/>
  <c r="I248" i="22"/>
  <c r="K248" i="22" s="1"/>
  <c r="K592" i="22"/>
  <c r="O323" i="22"/>
  <c r="L321" i="22"/>
  <c r="O321" i="22" s="1"/>
  <c r="L454" i="22"/>
  <c r="O454" i="22" s="1"/>
  <c r="O456" i="22"/>
  <c r="K462" i="22"/>
  <c r="M523" i="22"/>
  <c r="P523" i="22" s="1"/>
  <c r="P525" i="22"/>
  <c r="M424" i="22"/>
  <c r="I417" i="22"/>
  <c r="K435" i="22"/>
  <c r="I237" i="22"/>
  <c r="O333" i="22"/>
  <c r="L347" i="22"/>
  <c r="P350" i="22"/>
  <c r="O353" i="22"/>
  <c r="L392" i="22"/>
  <c r="O392" i="22" s="1"/>
  <c r="N444" i="22"/>
  <c r="O524" i="22"/>
  <c r="O431" i="22"/>
  <c r="L533" i="22"/>
  <c r="O533" i="22" s="1"/>
  <c r="L525" i="22"/>
  <c r="O525" i="22" s="1"/>
  <c r="K538" i="22"/>
  <c r="L639" i="22"/>
  <c r="O639" i="22" s="1"/>
  <c r="M786" i="22"/>
  <c r="P786" i="22" s="1"/>
  <c r="M805" i="22"/>
  <c r="P805" i="22" s="1"/>
  <c r="L631" i="22"/>
  <c r="O631" i="22" s="1"/>
  <c r="K669" i="22"/>
  <c r="K673" i="22"/>
  <c r="L687" i="22"/>
  <c r="O687" i="22" s="1"/>
  <c r="I543" i="22"/>
  <c r="K543" i="22" s="1"/>
  <c r="I654" i="22"/>
  <c r="K654" i="22" s="1"/>
  <c r="M300" i="20"/>
  <c r="P300" i="20" s="1"/>
  <c r="K725" i="20"/>
  <c r="M55" i="21"/>
  <c r="P58" i="21"/>
  <c r="O71" i="21"/>
  <c r="O124" i="21"/>
  <c r="M138" i="21"/>
  <c r="P138" i="21" s="1"/>
  <c r="O157" i="21"/>
  <c r="L187" i="21"/>
  <c r="O187" i="21" s="1"/>
  <c r="N183" i="21"/>
  <c r="N181" i="21" s="1"/>
  <c r="L228" i="21"/>
  <c r="I260" i="21"/>
  <c r="K260" i="21" s="1"/>
  <c r="N263" i="21"/>
  <c r="N280" i="21"/>
  <c r="L283" i="21"/>
  <c r="O283" i="21" s="1"/>
  <c r="O303" i="21"/>
  <c r="L334" i="21"/>
  <c r="O334" i="21" s="1"/>
  <c r="K360" i="21"/>
  <c r="N391" i="21"/>
  <c r="N389" i="21" s="1"/>
  <c r="L391" i="21"/>
  <c r="O391" i="21" s="1"/>
  <c r="I434" i="21"/>
  <c r="I418" i="21" s="1"/>
  <c r="K418" i="21" s="1"/>
  <c r="K647" i="21"/>
  <c r="O791" i="21"/>
  <c r="M183" i="21"/>
  <c r="M181" i="21" s="1"/>
  <c r="L231" i="20"/>
  <c r="M125" i="21"/>
  <c r="P125" i="21" s="1"/>
  <c r="L171" i="21"/>
  <c r="O171" i="21" s="1"/>
  <c r="P301" i="21"/>
  <c r="I522" i="21"/>
  <c r="K522" i="21" s="1"/>
  <c r="K728" i="21"/>
  <c r="P56" i="21"/>
  <c r="M134" i="21"/>
  <c r="I364" i="21"/>
  <c r="I216" i="20"/>
  <c r="K216" i="20" s="1"/>
  <c r="M59" i="21"/>
  <c r="P59" i="21" s="1"/>
  <c r="L121" i="21"/>
  <c r="O121" i="21" s="1"/>
  <c r="N151" i="21"/>
  <c r="N149" i="21" s="1"/>
  <c r="I174" i="21"/>
  <c r="I164" i="21" s="1"/>
  <c r="K164" i="21" s="1"/>
  <c r="O186" i="21"/>
  <c r="L231" i="21"/>
  <c r="L263" i="21"/>
  <c r="L261" i="21" s="1"/>
  <c r="L279" i="21"/>
  <c r="N300" i="21"/>
  <c r="M317" i="21"/>
  <c r="P317" i="21" s="1"/>
  <c r="O333" i="21"/>
  <c r="K370" i="21"/>
  <c r="K378" i="21"/>
  <c r="L395" i="21"/>
  <c r="O395" i="21" s="1"/>
  <c r="N405" i="21"/>
  <c r="M424" i="21"/>
  <c r="P424" i="21" s="1"/>
  <c r="L469" i="21"/>
  <c r="L467" i="21" s="1"/>
  <c r="I628" i="21"/>
  <c r="K628" i="21" s="1"/>
  <c r="L657" i="21"/>
  <c r="L655" i="21" s="1"/>
  <c r="O655" i="21" s="1"/>
  <c r="M660" i="21"/>
  <c r="M658" i="21" s="1"/>
  <c r="I112" i="21"/>
  <c r="K112" i="21" s="1"/>
  <c r="M121" i="21"/>
  <c r="L217" i="21"/>
  <c r="O217" i="21" s="1"/>
  <c r="P264" i="21"/>
  <c r="M321" i="21"/>
  <c r="P321" i="21" s="1"/>
  <c r="L330" i="21"/>
  <c r="K340" i="21"/>
  <c r="K381" i="21"/>
  <c r="P410" i="21"/>
  <c r="O528" i="21"/>
  <c r="O69" i="21"/>
  <c r="P91" i="21"/>
  <c r="P351" i="21"/>
  <c r="K204" i="18"/>
  <c r="L151" i="20"/>
  <c r="L149" i="20" s="1"/>
  <c r="O149" i="20" s="1"/>
  <c r="N263" i="20"/>
  <c r="N261" i="20" s="1"/>
  <c r="L347" i="20"/>
  <c r="N43" i="21"/>
  <c r="N41" i="21" s="1"/>
  <c r="M47" i="21"/>
  <c r="P47" i="21" s="1"/>
  <c r="L56" i="21"/>
  <c r="O56" i="21" s="1"/>
  <c r="M69" i="21"/>
  <c r="P69" i="21" s="1"/>
  <c r="L138" i="21"/>
  <c r="O138" i="21" s="1"/>
  <c r="P154" i="21"/>
  <c r="K159" i="21"/>
  <c r="O170" i="21"/>
  <c r="K215" i="21"/>
  <c r="I233" i="21"/>
  <c r="K233" i="21" s="1"/>
  <c r="L230" i="21"/>
  <c r="L280" i="21"/>
  <c r="L301" i="21"/>
  <c r="O301" i="21" s="1"/>
  <c r="K385" i="21"/>
  <c r="L422" i="21"/>
  <c r="L470" i="21"/>
  <c r="O660" i="21"/>
  <c r="M549" i="19"/>
  <c r="M546" i="19" s="1"/>
  <c r="P546" i="19" s="1"/>
  <c r="L55" i="20"/>
  <c r="L53" i="20" s="1"/>
  <c r="L59" i="20"/>
  <c r="O59" i="20" s="1"/>
  <c r="N122" i="20"/>
  <c r="L134" i="20"/>
  <c r="O134" i="20" s="1"/>
  <c r="M152" i="20"/>
  <c r="P152" i="20" s="1"/>
  <c r="L155" i="20"/>
  <c r="O155" i="20" s="1"/>
  <c r="I275" i="20"/>
  <c r="K275" i="20" s="1"/>
  <c r="N347" i="20"/>
  <c r="N345" i="20" s="1"/>
  <c r="M72" i="21"/>
  <c r="P72" i="21" s="1"/>
  <c r="N68" i="21"/>
  <c r="N66" i="21" s="1"/>
  <c r="O93" i="21"/>
  <c r="P152" i="21"/>
  <c r="N167" i="21"/>
  <c r="N165" i="21" s="1"/>
  <c r="M167" i="21"/>
  <c r="M165" i="21" s="1"/>
  <c r="M267" i="21"/>
  <c r="P267" i="21" s="1"/>
  <c r="O282" i="21"/>
  <c r="L331" i="21"/>
  <c r="O331" i="21" s="1"/>
  <c r="P333" i="21"/>
  <c r="L348" i="21"/>
  <c r="M347" i="21"/>
  <c r="L404" i="21"/>
  <c r="P407" i="21"/>
  <c r="M470" i="21"/>
  <c r="L155" i="18"/>
  <c r="O155" i="18" s="1"/>
  <c r="L55" i="21"/>
  <c r="L53" i="21" s="1"/>
  <c r="P93" i="21"/>
  <c r="K99" i="21"/>
  <c r="N23" i="21"/>
  <c r="N21" i="21" s="1"/>
  <c r="P168" i="21"/>
  <c r="P184" i="21"/>
  <c r="L198" i="21"/>
  <c r="O198" i="21" s="1"/>
  <c r="P331" i="21"/>
  <c r="J327" i="21"/>
  <c r="K327" i="21" s="1"/>
  <c r="J364" i="21"/>
  <c r="K374" i="21"/>
  <c r="O394" i="21"/>
  <c r="L408" i="21"/>
  <c r="O408" i="21" s="1"/>
  <c r="N90" i="19"/>
  <c r="N88" i="19" s="1"/>
  <c r="L231" i="19"/>
  <c r="K723" i="20"/>
  <c r="L43" i="21"/>
  <c r="L135" i="21"/>
  <c r="O135" i="21" s="1"/>
  <c r="K148" i="21"/>
  <c r="L249" i="21"/>
  <c r="O249" i="21" s="1"/>
  <c r="I276" i="21"/>
  <c r="K276" i="21" s="1"/>
  <c r="K338" i="21"/>
  <c r="O353" i="21"/>
  <c r="K372" i="21"/>
  <c r="M391" i="21"/>
  <c r="P391" i="21" s="1"/>
  <c r="K720" i="21"/>
  <c r="K824" i="21"/>
  <c r="M23" i="21"/>
  <c r="O91" i="21"/>
  <c r="L238" i="21"/>
  <c r="O238" i="21" s="1"/>
  <c r="I314" i="21"/>
  <c r="K314" i="21" s="1"/>
  <c r="P353" i="21"/>
  <c r="J537" i="21"/>
  <c r="J522" i="21" s="1"/>
  <c r="K822" i="21"/>
  <c r="N43" i="19"/>
  <c r="N41" i="19" s="1"/>
  <c r="N330" i="19"/>
  <c r="N328" i="19" s="1"/>
  <c r="P353" i="19"/>
  <c r="M59" i="20"/>
  <c r="P59" i="20" s="1"/>
  <c r="L187" i="20"/>
  <c r="O187" i="20" s="1"/>
  <c r="N317" i="20"/>
  <c r="N315" i="20" s="1"/>
  <c r="P323" i="20"/>
  <c r="O353" i="20"/>
  <c r="L351" i="20"/>
  <c r="O351" i="20" s="1"/>
  <c r="L217" i="20"/>
  <c r="O217" i="20" s="1"/>
  <c r="N134" i="19"/>
  <c r="N132" i="19" s="1"/>
  <c r="K340" i="19"/>
  <c r="K370" i="19"/>
  <c r="N43" i="20"/>
  <c r="N41" i="20" s="1"/>
  <c r="M167" i="20"/>
  <c r="M165" i="20" s="1"/>
  <c r="K193" i="20"/>
  <c r="I190" i="20"/>
  <c r="K190" i="20" s="1"/>
  <c r="N300" i="17"/>
  <c r="N298" i="17" s="1"/>
  <c r="N68" i="18"/>
  <c r="N66" i="18" s="1"/>
  <c r="L72" i="18"/>
  <c r="O72" i="18" s="1"/>
  <c r="M134" i="18"/>
  <c r="P134" i="18" s="1"/>
  <c r="I314" i="19"/>
  <c r="K314" i="19" s="1"/>
  <c r="K822" i="19"/>
  <c r="K828" i="19"/>
  <c r="M47" i="20"/>
  <c r="P47" i="20" s="1"/>
  <c r="N68" i="20"/>
  <c r="N66" i="20" s="1"/>
  <c r="N90" i="20"/>
  <c r="N88" i="20" s="1"/>
  <c r="M155" i="20"/>
  <c r="P155" i="20" s="1"/>
  <c r="K271" i="20"/>
  <c r="I260" i="20"/>
  <c r="K260" i="20" s="1"/>
  <c r="M280" i="20"/>
  <c r="P280" i="20" s="1"/>
  <c r="K143" i="21"/>
  <c r="I131" i="21"/>
  <c r="K131" i="21" s="1"/>
  <c r="L231" i="18"/>
  <c r="L167" i="20"/>
  <c r="L165" i="20" s="1"/>
  <c r="L171" i="20"/>
  <c r="O171" i="20" s="1"/>
  <c r="N404" i="20"/>
  <c r="N402" i="20" s="1"/>
  <c r="K86" i="21"/>
  <c r="L209" i="20"/>
  <c r="O209" i="20" s="1"/>
  <c r="N279" i="20"/>
  <c r="N277" i="20" s="1"/>
  <c r="K340" i="20"/>
  <c r="O528" i="20"/>
  <c r="L631" i="20"/>
  <c r="O631" i="20" s="1"/>
  <c r="O15" i="21"/>
  <c r="N19" i="21"/>
  <c r="N12" i="21"/>
  <c r="N26" i="21"/>
  <c r="L29" i="21"/>
  <c r="P35" i="21"/>
  <c r="M43" i="21"/>
  <c r="M41" i="21" s="1"/>
  <c r="O49" i="21"/>
  <c r="O61" i="21"/>
  <c r="L72" i="21"/>
  <c r="O72" i="21" s="1"/>
  <c r="M90" i="21"/>
  <c r="O96" i="21"/>
  <c r="N122" i="21"/>
  <c r="O127" i="21"/>
  <c r="J143" i="21"/>
  <c r="J131" i="21" s="1"/>
  <c r="L183" i="21"/>
  <c r="P186" i="21"/>
  <c r="N227" i="21"/>
  <c r="P285" i="21"/>
  <c r="M283" i="21"/>
  <c r="P283" i="21" s="1"/>
  <c r="O266" i="21"/>
  <c r="L264" i="21"/>
  <c r="O264" i="21" s="1"/>
  <c r="O269" i="21"/>
  <c r="L267" i="21"/>
  <c r="O267" i="21" s="1"/>
  <c r="I77" i="21"/>
  <c r="L134" i="21"/>
  <c r="O134" i="21" s="1"/>
  <c r="L168" i="21"/>
  <c r="O168" i="21" s="1"/>
  <c r="M187" i="21"/>
  <c r="P187" i="21" s="1"/>
  <c r="I216" i="21"/>
  <c r="K216" i="21" s="1"/>
  <c r="P266" i="21"/>
  <c r="L68" i="21"/>
  <c r="N121" i="21"/>
  <c r="N119" i="21" s="1"/>
  <c r="L151" i="21"/>
  <c r="O278" i="21"/>
  <c r="P282" i="21"/>
  <c r="M280" i="21"/>
  <c r="M12" i="21"/>
  <c r="M15" i="21"/>
  <c r="L26" i="21"/>
  <c r="L23" i="21"/>
  <c r="L21" i="21" s="1"/>
  <c r="M68" i="21"/>
  <c r="K98" i="21"/>
  <c r="K145" i="21"/>
  <c r="M151" i="21"/>
  <c r="M149" i="21" s="1"/>
  <c r="O154" i="21"/>
  <c r="L167" i="21"/>
  <c r="P170" i="21"/>
  <c r="O182" i="21"/>
  <c r="L184" i="21"/>
  <c r="O184" i="21" s="1"/>
  <c r="I190" i="21"/>
  <c r="K190" i="21" s="1"/>
  <c r="K204" i="21"/>
  <c r="I197" i="21"/>
  <c r="K197" i="21" s="1"/>
  <c r="K355" i="21"/>
  <c r="M26" i="21"/>
  <c r="P32" i="21"/>
  <c r="I76" i="21"/>
  <c r="L90" i="21"/>
  <c r="K146" i="21"/>
  <c r="I130" i="21"/>
  <c r="K130" i="21" s="1"/>
  <c r="L36" i="21"/>
  <c r="O36" i="21" s="1"/>
  <c r="I237" i="21"/>
  <c r="I297" i="21"/>
  <c r="K297" i="21" s="1"/>
  <c r="P299" i="21"/>
  <c r="N304" i="21"/>
  <c r="L321" i="21"/>
  <c r="O321" i="21" s="1"/>
  <c r="M404" i="21"/>
  <c r="P404" i="21" s="1"/>
  <c r="N444" i="21"/>
  <c r="N447" i="21"/>
  <c r="O447" i="21" s="1"/>
  <c r="M449" i="21"/>
  <c r="N502" i="21"/>
  <c r="P524" i="21"/>
  <c r="K559" i="21"/>
  <c r="L629" i="21"/>
  <c r="O629" i="21" s="1"/>
  <c r="O630" i="21"/>
  <c r="K593" i="21"/>
  <c r="I592" i="21"/>
  <c r="K592" i="21" s="1"/>
  <c r="I275" i="21"/>
  <c r="J288" i="21"/>
  <c r="J275" i="21" s="1"/>
  <c r="M300" i="21"/>
  <c r="M318" i="21"/>
  <c r="P318" i="21" s="1"/>
  <c r="M330" i="21"/>
  <c r="O351" i="21"/>
  <c r="K362" i="21"/>
  <c r="J433" i="21"/>
  <c r="J417" i="21" s="1"/>
  <c r="O449" i="21"/>
  <c r="L546" i="21"/>
  <c r="O546" i="21" s="1"/>
  <c r="L317" i="21"/>
  <c r="N318" i="21"/>
  <c r="N472" i="21"/>
  <c r="P303" i="21"/>
  <c r="O390" i="21"/>
  <c r="O535" i="21"/>
  <c r="L525" i="21"/>
  <c r="O634" i="21"/>
  <c r="L632" i="21"/>
  <c r="O632" i="21" s="1"/>
  <c r="O329" i="21"/>
  <c r="L421" i="21"/>
  <c r="O421" i="21" s="1"/>
  <c r="N422" i="21"/>
  <c r="K462" i="21"/>
  <c r="L547" i="21"/>
  <c r="O547" i="21" s="1"/>
  <c r="M549" i="21"/>
  <c r="P555" i="21"/>
  <c r="K576" i="21"/>
  <c r="M634" i="21"/>
  <c r="N687" i="21"/>
  <c r="N685" i="21" s="1"/>
  <c r="J721" i="21"/>
  <c r="K721" i="21" s="1"/>
  <c r="N739" i="21"/>
  <c r="N737" i="21" s="1"/>
  <c r="N756" i="21"/>
  <c r="N754" i="21" s="1"/>
  <c r="N772" i="21"/>
  <c r="N770" i="21" s="1"/>
  <c r="N658" i="21"/>
  <c r="O658" i="21" s="1"/>
  <c r="K675" i="21"/>
  <c r="K672" i="21"/>
  <c r="L688" i="21"/>
  <c r="O688" i="21" s="1"/>
  <c r="M690" i="21"/>
  <c r="K669" i="21"/>
  <c r="K673" i="21"/>
  <c r="L687" i="21"/>
  <c r="O687" i="21" s="1"/>
  <c r="I654" i="21"/>
  <c r="K654" i="21" s="1"/>
  <c r="I130" i="11"/>
  <c r="K130" i="11" s="1"/>
  <c r="L167" i="15"/>
  <c r="L165" i="15" s="1"/>
  <c r="L43" i="18"/>
  <c r="L391" i="19"/>
  <c r="O391" i="19" s="1"/>
  <c r="L546" i="19"/>
  <c r="O546" i="19" s="1"/>
  <c r="N56" i="20"/>
  <c r="P56" i="20" s="1"/>
  <c r="L68" i="20"/>
  <c r="O68" i="20" s="1"/>
  <c r="I112" i="20"/>
  <c r="K112" i="20" s="1"/>
  <c r="M125" i="20"/>
  <c r="P125" i="20" s="1"/>
  <c r="N152" i="20"/>
  <c r="O154" i="20"/>
  <c r="O170" i="20"/>
  <c r="K338" i="20"/>
  <c r="P394" i="20"/>
  <c r="M152" i="18"/>
  <c r="P152" i="18" s="1"/>
  <c r="P350" i="18"/>
  <c r="K378" i="18"/>
  <c r="O301" i="19"/>
  <c r="L230" i="20"/>
  <c r="M347" i="20"/>
  <c r="O124" i="19"/>
  <c r="O44" i="20"/>
  <c r="O46" i="20"/>
  <c r="L249" i="20"/>
  <c r="O249" i="20" s="1"/>
  <c r="L267" i="20"/>
  <c r="O267" i="20" s="1"/>
  <c r="J364" i="20"/>
  <c r="M405" i="20"/>
  <c r="P405" i="20" s="1"/>
  <c r="L789" i="20"/>
  <c r="O789" i="20" s="1"/>
  <c r="N279" i="18"/>
  <c r="N277" i="18" s="1"/>
  <c r="K725" i="19"/>
  <c r="J722" i="19"/>
  <c r="K722" i="19" s="1"/>
  <c r="L23" i="20"/>
  <c r="L21" i="20" s="1"/>
  <c r="N47" i="20"/>
  <c r="P58" i="20"/>
  <c r="M90" i="20"/>
  <c r="M88" i="20" s="1"/>
  <c r="K537" i="20"/>
  <c r="O641" i="20"/>
  <c r="O168" i="20"/>
  <c r="O184" i="20"/>
  <c r="L334" i="20"/>
  <c r="O334" i="20" s="1"/>
  <c r="L330" i="20"/>
  <c r="L328" i="20" s="1"/>
  <c r="L429" i="20"/>
  <c r="O429" i="20" s="1"/>
  <c r="O431" i="20"/>
  <c r="O46" i="19"/>
  <c r="M151" i="20"/>
  <c r="K309" i="20"/>
  <c r="I297" i="20"/>
  <c r="K297" i="20" s="1"/>
  <c r="M330" i="20"/>
  <c r="M328" i="20" s="1"/>
  <c r="P410" i="20"/>
  <c r="M404" i="20"/>
  <c r="P404" i="20" s="1"/>
  <c r="M408" i="20"/>
  <c r="P408" i="20" s="1"/>
  <c r="K462" i="20"/>
  <c r="I443" i="20"/>
  <c r="K443" i="20" s="1"/>
  <c r="M263" i="18"/>
  <c r="M261" i="18" s="1"/>
  <c r="M279" i="18"/>
  <c r="P170" i="19"/>
  <c r="N348" i="19"/>
  <c r="P348" i="19" s="1"/>
  <c r="K360" i="19"/>
  <c r="J364" i="19"/>
  <c r="N391" i="19"/>
  <c r="N389" i="19" s="1"/>
  <c r="K821" i="19"/>
  <c r="K827" i="19"/>
  <c r="M55" i="20"/>
  <c r="O58" i="20"/>
  <c r="K98" i="20"/>
  <c r="L122" i="20"/>
  <c r="O122" i="20" s="1"/>
  <c r="K146" i="20"/>
  <c r="N280" i="20"/>
  <c r="I276" i="20"/>
  <c r="K276" i="20" s="1"/>
  <c r="K287" i="20"/>
  <c r="M317" i="20"/>
  <c r="O320" i="20"/>
  <c r="L317" i="20"/>
  <c r="L315" i="20" s="1"/>
  <c r="O315" i="20" s="1"/>
  <c r="P333" i="20"/>
  <c r="N334" i="20"/>
  <c r="N330" i="20"/>
  <c r="N404" i="19"/>
  <c r="N402" i="19" s="1"/>
  <c r="M72" i="20"/>
  <c r="P72" i="20" s="1"/>
  <c r="L121" i="20"/>
  <c r="K215" i="20"/>
  <c r="I208" i="20"/>
  <c r="K208" i="20" s="1"/>
  <c r="O336" i="20"/>
  <c r="L408" i="20"/>
  <c r="O408" i="20" s="1"/>
  <c r="O535" i="20"/>
  <c r="L525" i="20"/>
  <c r="K674" i="20"/>
  <c r="K672" i="20"/>
  <c r="I654" i="20"/>
  <c r="N44" i="19"/>
  <c r="P44" i="19" s="1"/>
  <c r="M330" i="19"/>
  <c r="M328" i="19" s="1"/>
  <c r="M334" i="19"/>
  <c r="P334" i="19" s="1"/>
  <c r="I77" i="20"/>
  <c r="I65" i="20" s="1"/>
  <c r="K65" i="20" s="1"/>
  <c r="L90" i="20"/>
  <c r="L88" i="20" s="1"/>
  <c r="M121" i="20"/>
  <c r="P124" i="20"/>
  <c r="K174" i="20"/>
  <c r="L183" i="20"/>
  <c r="L181" i="20" s="1"/>
  <c r="L395" i="20"/>
  <c r="O395" i="20" s="1"/>
  <c r="O397" i="20"/>
  <c r="L391" i="20"/>
  <c r="O391" i="20" s="1"/>
  <c r="L422" i="20"/>
  <c r="O422" i="20" s="1"/>
  <c r="M424" i="20"/>
  <c r="K435" i="20"/>
  <c r="J433" i="20"/>
  <c r="J417" i="20" s="1"/>
  <c r="K417" i="20" s="1"/>
  <c r="L632" i="20"/>
  <c r="O632" i="20" s="1"/>
  <c r="O634" i="20"/>
  <c r="L688" i="20"/>
  <c r="L687" i="20"/>
  <c r="L685" i="20" s="1"/>
  <c r="O685" i="20" s="1"/>
  <c r="M690" i="20"/>
  <c r="M155" i="18"/>
  <c r="P155" i="18" s="1"/>
  <c r="I260" i="18"/>
  <c r="K260" i="18" s="1"/>
  <c r="P58" i="19"/>
  <c r="M135" i="19"/>
  <c r="P135" i="19" s="1"/>
  <c r="M138" i="19"/>
  <c r="P138" i="19" s="1"/>
  <c r="P189" i="19"/>
  <c r="L33" i="20"/>
  <c r="L31" i="20" s="1"/>
  <c r="O96" i="20"/>
  <c r="M138" i="20"/>
  <c r="P138" i="20" s="1"/>
  <c r="O186" i="20"/>
  <c r="N183" i="20"/>
  <c r="I237" i="20"/>
  <c r="K237" i="20" s="1"/>
  <c r="L318" i="20"/>
  <c r="O318" i="20" s="1"/>
  <c r="P320" i="20"/>
  <c r="L421" i="20"/>
  <c r="L419" i="20" s="1"/>
  <c r="P336" i="20"/>
  <c r="P353" i="20"/>
  <c r="I434" i="20"/>
  <c r="I418" i="20" s="1"/>
  <c r="K418" i="20" s="1"/>
  <c r="J722" i="20"/>
  <c r="K722" i="20" s="1"/>
  <c r="L198" i="20"/>
  <c r="O198" i="20" s="1"/>
  <c r="L238" i="20"/>
  <c r="O238" i="20" s="1"/>
  <c r="M301" i="20"/>
  <c r="P301" i="20" s="1"/>
  <c r="L26" i="20"/>
  <c r="L24" i="20" s="1"/>
  <c r="O424" i="20"/>
  <c r="O690" i="20"/>
  <c r="K823" i="20"/>
  <c r="K826" i="20"/>
  <c r="P266" i="20"/>
  <c r="P331" i="20"/>
  <c r="J327" i="20"/>
  <c r="K327" i="20" s="1"/>
  <c r="J537" i="20"/>
  <c r="J522" i="20" s="1"/>
  <c r="J721" i="20"/>
  <c r="K721" i="20" s="1"/>
  <c r="L788" i="20"/>
  <c r="O788" i="20" s="1"/>
  <c r="K821" i="20"/>
  <c r="K824" i="20"/>
  <c r="K827" i="20"/>
  <c r="K669" i="20"/>
  <c r="K224" i="19"/>
  <c r="I216" i="19"/>
  <c r="K216" i="19" s="1"/>
  <c r="N135" i="19"/>
  <c r="L421" i="19"/>
  <c r="O421" i="19" s="1"/>
  <c r="M424" i="19"/>
  <c r="M421" i="19" s="1"/>
  <c r="P421" i="19" s="1"/>
  <c r="O133" i="20"/>
  <c r="K144" i="20"/>
  <c r="J143" i="20"/>
  <c r="J131" i="20" s="1"/>
  <c r="N504" i="20"/>
  <c r="N502" i="20" s="1"/>
  <c r="L544" i="20"/>
  <c r="O544" i="20" s="1"/>
  <c r="K708" i="17"/>
  <c r="L477" i="18"/>
  <c r="O477" i="18" s="1"/>
  <c r="L33" i="19"/>
  <c r="L31" i="19" s="1"/>
  <c r="O31" i="19" s="1"/>
  <c r="L44" i="19"/>
  <c r="J143" i="19"/>
  <c r="J131" i="19" s="1"/>
  <c r="K159" i="19"/>
  <c r="M280" i="19"/>
  <c r="P280" i="19" s="1"/>
  <c r="M283" i="19"/>
  <c r="P283" i="19" s="1"/>
  <c r="M634" i="19"/>
  <c r="P634" i="19" s="1"/>
  <c r="O634" i="19"/>
  <c r="O67" i="20"/>
  <c r="M283" i="20"/>
  <c r="P283" i="20" s="1"/>
  <c r="N446" i="20"/>
  <c r="N447" i="20"/>
  <c r="N33" i="20"/>
  <c r="O445" i="20"/>
  <c r="N43" i="18"/>
  <c r="N41" i="18" s="1"/>
  <c r="K360" i="18"/>
  <c r="N55" i="19"/>
  <c r="N53" i="19" s="1"/>
  <c r="N68" i="19"/>
  <c r="N66" i="19" s="1"/>
  <c r="P74" i="19"/>
  <c r="M168" i="19"/>
  <c r="P168" i="19" s="1"/>
  <c r="N167" i="19"/>
  <c r="N165" i="19" s="1"/>
  <c r="M317" i="19"/>
  <c r="P317" i="19" s="1"/>
  <c r="K355" i="19"/>
  <c r="N12" i="20"/>
  <c r="L47" i="20"/>
  <c r="O47" i="20" s="1"/>
  <c r="L43" i="20"/>
  <c r="L41" i="20" s="1"/>
  <c r="P166" i="20"/>
  <c r="M184" i="20"/>
  <c r="P184" i="20" s="1"/>
  <c r="P186" i="20"/>
  <c r="M183" i="20"/>
  <c r="O266" i="20"/>
  <c r="L264" i="20"/>
  <c r="O264" i="20" s="1"/>
  <c r="L263" i="20"/>
  <c r="O407" i="20"/>
  <c r="L404" i="20"/>
  <c r="L405" i="20"/>
  <c r="O405" i="20" s="1"/>
  <c r="P446" i="20"/>
  <c r="M444" i="20"/>
  <c r="P444" i="20" s="1"/>
  <c r="L658" i="20"/>
  <c r="O658" i="20" s="1"/>
  <c r="O660" i="20"/>
  <c r="M660" i="20"/>
  <c r="L657" i="20"/>
  <c r="P686" i="20"/>
  <c r="K225" i="20"/>
  <c r="O323" i="20"/>
  <c r="L321" i="20"/>
  <c r="O321" i="20" s="1"/>
  <c r="P390" i="20"/>
  <c r="P46" i="20"/>
  <c r="M43" i="20"/>
  <c r="M23" i="20"/>
  <c r="M44" i="20"/>
  <c r="P44" i="20" s="1"/>
  <c r="K255" i="20"/>
  <c r="I248" i="20"/>
  <c r="P555" i="20"/>
  <c r="M545" i="20"/>
  <c r="M321" i="17"/>
  <c r="P321" i="17" s="1"/>
  <c r="L47" i="18"/>
  <c r="O47" i="18" s="1"/>
  <c r="K370" i="18"/>
  <c r="L47" i="19"/>
  <c r="O47" i="19" s="1"/>
  <c r="L171" i="19"/>
  <c r="O171" i="19" s="1"/>
  <c r="L230" i="19"/>
  <c r="P320" i="19"/>
  <c r="M318" i="19"/>
  <c r="P318" i="19" s="1"/>
  <c r="L526" i="19"/>
  <c r="O526" i="19" s="1"/>
  <c r="O528" i="19"/>
  <c r="N91" i="20"/>
  <c r="O91" i="20" s="1"/>
  <c r="N23" i="20"/>
  <c r="O93" i="20"/>
  <c r="P137" i="20"/>
  <c r="M134" i="20"/>
  <c r="P134" i="20" s="1"/>
  <c r="N171" i="20"/>
  <c r="N167" i="20"/>
  <c r="O306" i="20"/>
  <c r="L304" i="20"/>
  <c r="O304" i="20" s="1"/>
  <c r="N348" i="20"/>
  <c r="P350" i="20"/>
  <c r="O350" i="20"/>
  <c r="P351" i="20"/>
  <c r="N26" i="20"/>
  <c r="N16" i="20" s="1"/>
  <c r="N14" i="20" s="1"/>
  <c r="O262" i="20"/>
  <c r="I628" i="20"/>
  <c r="K628" i="20" s="1"/>
  <c r="K651" i="20"/>
  <c r="O269" i="19"/>
  <c r="K435" i="19"/>
  <c r="I433" i="19"/>
  <c r="I417" i="19" s="1"/>
  <c r="P71" i="20"/>
  <c r="M68" i="20"/>
  <c r="P68" i="20" s="1"/>
  <c r="I76" i="20"/>
  <c r="K82" i="20"/>
  <c r="N134" i="20"/>
  <c r="N132" i="20" s="1"/>
  <c r="K159" i="20"/>
  <c r="I148" i="20"/>
  <c r="K148" i="20" s="1"/>
  <c r="P269" i="20"/>
  <c r="M267" i="20"/>
  <c r="P267" i="20" s="1"/>
  <c r="M26" i="20"/>
  <c r="L280" i="20"/>
  <c r="O280" i="20" s="1"/>
  <c r="O282" i="20"/>
  <c r="L279" i="20"/>
  <c r="O279" i="20" s="1"/>
  <c r="K823" i="19"/>
  <c r="P133" i="20"/>
  <c r="L138" i="20"/>
  <c r="O138" i="20" s="1"/>
  <c r="O140" i="20"/>
  <c r="M168" i="20"/>
  <c r="P168" i="20" s="1"/>
  <c r="P170" i="20"/>
  <c r="O299" i="20"/>
  <c r="O346" i="20"/>
  <c r="I364" i="20"/>
  <c r="K364" i="20" s="1"/>
  <c r="K365" i="20"/>
  <c r="P403" i="20"/>
  <c r="L477" i="20"/>
  <c r="O477" i="20" s="1"/>
  <c r="L36" i="20"/>
  <c r="P738" i="20"/>
  <c r="M737" i="20"/>
  <c r="P737" i="20" s="1"/>
  <c r="P301" i="19"/>
  <c r="K649" i="19"/>
  <c r="M12" i="20"/>
  <c r="M19" i="20"/>
  <c r="L69" i="20"/>
  <c r="O69" i="20" s="1"/>
  <c r="O71" i="20"/>
  <c r="M94" i="20"/>
  <c r="P94" i="20" s="1"/>
  <c r="P96" i="20"/>
  <c r="I87" i="20"/>
  <c r="K87" i="20" s="1"/>
  <c r="K99" i="20"/>
  <c r="K204" i="20"/>
  <c r="M263" i="20"/>
  <c r="M279" i="20"/>
  <c r="P279" i="20" s="1"/>
  <c r="L301" i="20"/>
  <c r="O301" i="20" s="1"/>
  <c r="I314" i="20"/>
  <c r="K314" i="20" s="1"/>
  <c r="P346" i="20"/>
  <c r="O390" i="20"/>
  <c r="O449" i="20"/>
  <c r="L447" i="20"/>
  <c r="O447" i="20" s="1"/>
  <c r="L446" i="20"/>
  <c r="O446" i="20" s="1"/>
  <c r="L469" i="20"/>
  <c r="O479" i="20"/>
  <c r="P503" i="20"/>
  <c r="M502" i="20"/>
  <c r="P502" i="20" s="1"/>
  <c r="O264" i="19"/>
  <c r="K701" i="19"/>
  <c r="L9" i="20"/>
  <c r="L15" i="20"/>
  <c r="L29" i="20"/>
  <c r="P67" i="20"/>
  <c r="L72" i="20"/>
  <c r="O72" i="20" s="1"/>
  <c r="O74" i="20"/>
  <c r="M187" i="20"/>
  <c r="P187" i="20" s="1"/>
  <c r="P189" i="20"/>
  <c r="O329" i="20"/>
  <c r="M395" i="20"/>
  <c r="P395" i="20" s="1"/>
  <c r="M391" i="20"/>
  <c r="P391" i="20" s="1"/>
  <c r="P397" i="20"/>
  <c r="L547" i="20"/>
  <c r="O547" i="20" s="1"/>
  <c r="O549" i="20"/>
  <c r="M549" i="20"/>
  <c r="L555" i="20"/>
  <c r="O555" i="20" s="1"/>
  <c r="O557" i="20"/>
  <c r="J327" i="19"/>
  <c r="K327" i="19" s="1"/>
  <c r="M91" i="20"/>
  <c r="P93" i="20"/>
  <c r="L135" i="20"/>
  <c r="O135" i="20" s="1"/>
  <c r="O137" i="20"/>
  <c r="M171" i="20"/>
  <c r="P171" i="20" s="1"/>
  <c r="P173" i="20"/>
  <c r="K176" i="20"/>
  <c r="I233" i="20"/>
  <c r="K233" i="20" s="1"/>
  <c r="M264" i="20"/>
  <c r="P264" i="20" s="1"/>
  <c r="P278" i="20"/>
  <c r="L283" i="20"/>
  <c r="O283" i="20" s="1"/>
  <c r="O285" i="20"/>
  <c r="J288" i="20"/>
  <c r="J275" i="20" s="1"/>
  <c r="L300" i="20"/>
  <c r="O300" i="20" s="1"/>
  <c r="M304" i="20"/>
  <c r="P304" i="20" s="1"/>
  <c r="O333" i="20"/>
  <c r="K438" i="20"/>
  <c r="J654" i="20"/>
  <c r="N421" i="20"/>
  <c r="I442" i="20"/>
  <c r="K442" i="20" s="1"/>
  <c r="K460" i="20"/>
  <c r="K592" i="20"/>
  <c r="P755" i="20"/>
  <c r="M754" i="20"/>
  <c r="P754" i="20" s="1"/>
  <c r="I785" i="20"/>
  <c r="K785" i="20" s="1"/>
  <c r="K800" i="20"/>
  <c r="O806" i="20"/>
  <c r="L805" i="20"/>
  <c r="O805" i="20" s="1"/>
  <c r="P420" i="20"/>
  <c r="N444" i="20"/>
  <c r="I559" i="20"/>
  <c r="K576" i="20"/>
  <c r="N754" i="20"/>
  <c r="M805" i="20"/>
  <c r="P805" i="20" s="1"/>
  <c r="I143" i="20"/>
  <c r="P630" i="20"/>
  <c r="M629" i="20"/>
  <c r="P629" i="20" s="1"/>
  <c r="K675" i="20"/>
  <c r="P771" i="20"/>
  <c r="M770" i="20"/>
  <c r="P770" i="20" s="1"/>
  <c r="O787" i="20"/>
  <c r="P524" i="20"/>
  <c r="K593" i="20"/>
  <c r="N688" i="20"/>
  <c r="I76" i="19"/>
  <c r="I64" i="19" s="1"/>
  <c r="K64" i="19" s="1"/>
  <c r="K146" i="19"/>
  <c r="O154" i="19"/>
  <c r="M171" i="19"/>
  <c r="P171" i="19" s="1"/>
  <c r="K204" i="19"/>
  <c r="L238" i="19"/>
  <c r="M263" i="19"/>
  <c r="M261" i="19" s="1"/>
  <c r="N279" i="19"/>
  <c r="N277" i="19" s="1"/>
  <c r="K287" i="19"/>
  <c r="M321" i="19"/>
  <c r="P321" i="19" s="1"/>
  <c r="K359" i="19"/>
  <c r="O549" i="19"/>
  <c r="L657" i="17"/>
  <c r="O657" i="17" s="1"/>
  <c r="L405" i="18"/>
  <c r="O405" i="18" s="1"/>
  <c r="M408" i="18"/>
  <c r="P408" i="18" s="1"/>
  <c r="I442" i="18"/>
  <c r="K442" i="18" s="1"/>
  <c r="L151" i="19"/>
  <c r="L149" i="19" s="1"/>
  <c r="M155" i="19"/>
  <c r="P155" i="19" s="1"/>
  <c r="I208" i="19"/>
  <c r="K208" i="19" s="1"/>
  <c r="L209" i="19"/>
  <c r="O209" i="19" s="1"/>
  <c r="M267" i="19"/>
  <c r="P267" i="19" s="1"/>
  <c r="P323" i="19"/>
  <c r="L688" i="19"/>
  <c r="O688" i="19" s="1"/>
  <c r="L334" i="17"/>
  <c r="O334" i="17" s="1"/>
  <c r="M135" i="18"/>
  <c r="P135" i="18" s="1"/>
  <c r="L138" i="18"/>
  <c r="O138" i="18" s="1"/>
  <c r="O91" i="19"/>
  <c r="M167" i="19"/>
  <c r="L283" i="19"/>
  <c r="O283" i="19" s="1"/>
  <c r="K288" i="19"/>
  <c r="O336" i="19"/>
  <c r="L422" i="19"/>
  <c r="O422" i="19" s="1"/>
  <c r="L469" i="19"/>
  <c r="O469" i="19" s="1"/>
  <c r="O557" i="19"/>
  <c r="L135" i="19"/>
  <c r="O135" i="19" s="1"/>
  <c r="K355" i="17"/>
  <c r="M23" i="19"/>
  <c r="M21" i="19" s="1"/>
  <c r="O168" i="19"/>
  <c r="K374" i="19"/>
  <c r="K576" i="19"/>
  <c r="L788" i="17"/>
  <c r="O788" i="17" s="1"/>
  <c r="K360" i="17"/>
  <c r="L217" i="19"/>
  <c r="O217" i="19" s="1"/>
  <c r="K338" i="19"/>
  <c r="I364" i="19"/>
  <c r="K379" i="19"/>
  <c r="O61" i="19"/>
  <c r="O71" i="19"/>
  <c r="O282" i="19"/>
  <c r="L317" i="19"/>
  <c r="O317" i="19" s="1"/>
  <c r="M347" i="19"/>
  <c r="N391" i="17"/>
  <c r="N389" i="17" s="1"/>
  <c r="N47" i="18"/>
  <c r="P49" i="18"/>
  <c r="L300" i="18"/>
  <c r="O300" i="18" s="1"/>
  <c r="L330" i="18"/>
  <c r="L328" i="18" s="1"/>
  <c r="O557" i="18"/>
  <c r="M43" i="19"/>
  <c r="L72" i="19"/>
  <c r="O72" i="19" s="1"/>
  <c r="P93" i="19"/>
  <c r="M121" i="19"/>
  <c r="P121" i="19" s="1"/>
  <c r="O140" i="19"/>
  <c r="K145" i="19"/>
  <c r="N183" i="19"/>
  <c r="N181" i="19" s="1"/>
  <c r="I190" i="19"/>
  <c r="K190" i="19" s="1"/>
  <c r="P264" i="19"/>
  <c r="K369" i="19"/>
  <c r="L405" i="19"/>
  <c r="O405" i="19" s="1"/>
  <c r="O424" i="19"/>
  <c r="O547" i="19"/>
  <c r="L788" i="19"/>
  <c r="O788" i="19" s="1"/>
  <c r="O791" i="19"/>
  <c r="K824" i="19"/>
  <c r="K699" i="16"/>
  <c r="P69" i="18"/>
  <c r="M122" i="18"/>
  <c r="P122" i="18" s="1"/>
  <c r="L68" i="19"/>
  <c r="O68" i="19" s="1"/>
  <c r="K98" i="19"/>
  <c r="N121" i="19"/>
  <c r="N119" i="19" s="1"/>
  <c r="I143" i="19"/>
  <c r="O184" i="19"/>
  <c r="P186" i="19"/>
  <c r="K244" i="19"/>
  <c r="K255" i="19"/>
  <c r="L330" i="19"/>
  <c r="P350" i="19"/>
  <c r="K372" i="19"/>
  <c r="L408" i="19"/>
  <c r="O408" i="19" s="1"/>
  <c r="L429" i="19"/>
  <c r="O429" i="19" s="1"/>
  <c r="I522" i="19"/>
  <c r="K522" i="19" s="1"/>
  <c r="K647" i="19"/>
  <c r="M47" i="19"/>
  <c r="P47" i="19" s="1"/>
  <c r="N167" i="18"/>
  <c r="N165" i="18" s="1"/>
  <c r="N183" i="18"/>
  <c r="N181" i="18" s="1"/>
  <c r="M660" i="18"/>
  <c r="P660" i="18" s="1"/>
  <c r="L36" i="19"/>
  <c r="M94" i="19"/>
  <c r="P94" i="19" s="1"/>
  <c r="O170" i="19"/>
  <c r="L187" i="19"/>
  <c r="O187" i="19" s="1"/>
  <c r="L198" i="19"/>
  <c r="O198" i="19" s="1"/>
  <c r="I233" i="19"/>
  <c r="K233" i="19" s="1"/>
  <c r="L249" i="19"/>
  <c r="O249" i="19" s="1"/>
  <c r="L321" i="19"/>
  <c r="O321" i="19" s="1"/>
  <c r="M351" i="19"/>
  <c r="P351" i="19" s="1"/>
  <c r="K362" i="19"/>
  <c r="K378" i="19"/>
  <c r="L404" i="19"/>
  <c r="O404" i="19" s="1"/>
  <c r="K466" i="19"/>
  <c r="K594" i="19"/>
  <c r="L631" i="19"/>
  <c r="O631" i="19" s="1"/>
  <c r="K720" i="19"/>
  <c r="K723" i="19"/>
  <c r="K825" i="19"/>
  <c r="K822" i="17"/>
  <c r="K825" i="17"/>
  <c r="K828" i="17"/>
  <c r="M321" i="18"/>
  <c r="P321" i="18" s="1"/>
  <c r="O323" i="18"/>
  <c r="L658" i="18"/>
  <c r="O658" i="18" s="1"/>
  <c r="P46" i="19"/>
  <c r="M56" i="19"/>
  <c r="P56" i="19" s="1"/>
  <c r="M69" i="19"/>
  <c r="P69" i="19" s="1"/>
  <c r="I87" i="19"/>
  <c r="K87" i="19" s="1"/>
  <c r="M125" i="19"/>
  <c r="P125" i="19" s="1"/>
  <c r="N152" i="19"/>
  <c r="P152" i="19" s="1"/>
  <c r="O266" i="19"/>
  <c r="K381" i="19"/>
  <c r="M404" i="19"/>
  <c r="P404" i="19" s="1"/>
  <c r="K826" i="19"/>
  <c r="I143" i="16"/>
  <c r="K143" i="16" s="1"/>
  <c r="L263" i="17"/>
  <c r="L261" i="17" s="1"/>
  <c r="L59" i="18"/>
  <c r="O59" i="18" s="1"/>
  <c r="L55" i="18"/>
  <c r="L53" i="18" s="1"/>
  <c r="N404" i="18"/>
  <c r="N402" i="18" s="1"/>
  <c r="N408" i="18"/>
  <c r="I148" i="15"/>
  <c r="K148" i="15" s="1"/>
  <c r="N331" i="18"/>
  <c r="N330" i="18"/>
  <c r="N328" i="18" s="1"/>
  <c r="I592" i="18"/>
  <c r="K592" i="18" s="1"/>
  <c r="K593" i="18"/>
  <c r="M167" i="16"/>
  <c r="M165" i="16" s="1"/>
  <c r="M263" i="16"/>
  <c r="M261" i="16" s="1"/>
  <c r="K145" i="17"/>
  <c r="L789" i="18"/>
  <c r="O789" i="18" s="1"/>
  <c r="O791" i="18"/>
  <c r="L788" i="18"/>
  <c r="L786" i="18" s="1"/>
  <c r="P353" i="16"/>
  <c r="M151" i="17"/>
  <c r="M149" i="17" s="1"/>
  <c r="M155" i="17"/>
  <c r="P155" i="17" s="1"/>
  <c r="M301" i="17"/>
  <c r="M300" i="17"/>
  <c r="M298" i="17" s="1"/>
  <c r="P140" i="18"/>
  <c r="M138" i="18"/>
  <c r="P138" i="18" s="1"/>
  <c r="O56" i="19"/>
  <c r="J143" i="17"/>
  <c r="J131" i="17" s="1"/>
  <c r="K159" i="18"/>
  <c r="I148" i="18"/>
  <c r="K148" i="18" s="1"/>
  <c r="K673" i="18"/>
  <c r="K672" i="18"/>
  <c r="O58" i="18"/>
  <c r="O93" i="18"/>
  <c r="L167" i="18"/>
  <c r="L165" i="18" s="1"/>
  <c r="L209" i="18"/>
  <c r="O209" i="18" s="1"/>
  <c r="I297" i="18"/>
  <c r="K297" i="18" s="1"/>
  <c r="K338" i="18"/>
  <c r="O422" i="18"/>
  <c r="K560" i="18"/>
  <c r="J722" i="18"/>
  <c r="K801" i="18"/>
  <c r="K821" i="18"/>
  <c r="K824" i="18"/>
  <c r="M9" i="19"/>
  <c r="P12" i="19"/>
  <c r="M15" i="19"/>
  <c r="P19" i="19"/>
  <c r="N23" i="19"/>
  <c r="P25" i="19"/>
  <c r="M29" i="19"/>
  <c r="P32" i="19"/>
  <c r="M34" i="19"/>
  <c r="P34" i="19" s="1"/>
  <c r="L55" i="19"/>
  <c r="M68" i="19"/>
  <c r="M122" i="19"/>
  <c r="P122" i="19" s="1"/>
  <c r="L134" i="19"/>
  <c r="O134" i="19" s="1"/>
  <c r="M151" i="19"/>
  <c r="M149" i="19" s="1"/>
  <c r="O157" i="19"/>
  <c r="L229" i="19"/>
  <c r="I260" i="19"/>
  <c r="K260" i="19" s="1"/>
  <c r="L263" i="19"/>
  <c r="K309" i="19"/>
  <c r="P329" i="19"/>
  <c r="N331" i="19"/>
  <c r="O390" i="19"/>
  <c r="M392" i="19"/>
  <c r="P392" i="19" s="1"/>
  <c r="L447" i="19"/>
  <c r="O447" i="19" s="1"/>
  <c r="O449" i="19"/>
  <c r="M449" i="19"/>
  <c r="L446" i="19"/>
  <c r="L454" i="19"/>
  <c r="O454" i="19" s="1"/>
  <c r="O456" i="19"/>
  <c r="I143" i="18"/>
  <c r="K143" i="18" s="1"/>
  <c r="K359" i="18"/>
  <c r="I785" i="18"/>
  <c r="N15" i="19"/>
  <c r="L26" i="19"/>
  <c r="N29" i="19"/>
  <c r="N28" i="19" s="1"/>
  <c r="L43" i="19"/>
  <c r="M55" i="19"/>
  <c r="O93" i="19"/>
  <c r="L121" i="19"/>
  <c r="M134" i="19"/>
  <c r="N151" i="19"/>
  <c r="N149" i="19" s="1"/>
  <c r="O186" i="19"/>
  <c r="L279" i="19"/>
  <c r="O279" i="19" s="1"/>
  <c r="K725" i="17"/>
  <c r="P320" i="18"/>
  <c r="K822" i="18"/>
  <c r="L12" i="19"/>
  <c r="L19" i="19"/>
  <c r="M26" i="19"/>
  <c r="O58" i="19"/>
  <c r="P61" i="19"/>
  <c r="P91" i="19"/>
  <c r="I112" i="19"/>
  <c r="K112" i="19" s="1"/>
  <c r="O127" i="19"/>
  <c r="P154" i="19"/>
  <c r="P184" i="19"/>
  <c r="K237" i="19"/>
  <c r="I226" i="19"/>
  <c r="N263" i="19"/>
  <c r="M279" i="19"/>
  <c r="N300" i="19"/>
  <c r="N298" i="19" s="1"/>
  <c r="P303" i="19"/>
  <c r="O306" i="19"/>
  <c r="L300" i="19"/>
  <c r="L318" i="19"/>
  <c r="O318" i="19" s="1"/>
  <c r="O333" i="19"/>
  <c r="L230" i="18"/>
  <c r="N26" i="19"/>
  <c r="K79" i="19"/>
  <c r="I77" i="19"/>
  <c r="L90" i="19"/>
  <c r="L183" i="19"/>
  <c r="P266" i="19"/>
  <c r="P306" i="19"/>
  <c r="M300" i="19"/>
  <c r="N318" i="19"/>
  <c r="N317" i="19"/>
  <c r="N315" i="19" s="1"/>
  <c r="P333" i="19"/>
  <c r="N263" i="18"/>
  <c r="N261" i="18" s="1"/>
  <c r="M317" i="18"/>
  <c r="M315" i="18" s="1"/>
  <c r="K372" i="18"/>
  <c r="L408" i="18"/>
  <c r="O408" i="18" s="1"/>
  <c r="M424" i="18"/>
  <c r="P424" i="18" s="1"/>
  <c r="K621" i="18"/>
  <c r="N12" i="19"/>
  <c r="L23" i="19"/>
  <c r="L21" i="19" s="1"/>
  <c r="M90" i="19"/>
  <c r="O133" i="19"/>
  <c r="L167" i="19"/>
  <c r="I174" i="19"/>
  <c r="M183" i="19"/>
  <c r="L228" i="19"/>
  <c r="M304" i="19"/>
  <c r="P304" i="19" s="1"/>
  <c r="L347" i="19"/>
  <c r="O350" i="19"/>
  <c r="M391" i="19"/>
  <c r="L392" i="19"/>
  <c r="O392" i="19" s="1"/>
  <c r="O394" i="19"/>
  <c r="L395" i="19"/>
  <c r="O395" i="19" s="1"/>
  <c r="O397" i="19"/>
  <c r="I443" i="19"/>
  <c r="K443" i="19" s="1"/>
  <c r="K462" i="19"/>
  <c r="O329" i="19"/>
  <c r="P397" i="19"/>
  <c r="M395" i="19"/>
  <c r="P395" i="19" s="1"/>
  <c r="I275" i="19"/>
  <c r="K275" i="19" s="1"/>
  <c r="L351" i="19"/>
  <c r="O351" i="19" s="1"/>
  <c r="O353" i="19"/>
  <c r="O420" i="19"/>
  <c r="J721" i="19"/>
  <c r="K721" i="19" s="1"/>
  <c r="P755" i="19"/>
  <c r="M754" i="19"/>
  <c r="P754" i="19" s="1"/>
  <c r="L658" i="19"/>
  <c r="O658" i="19" s="1"/>
  <c r="O660" i="19"/>
  <c r="M660" i="19"/>
  <c r="I785" i="19"/>
  <c r="K785" i="19" s="1"/>
  <c r="K800" i="19"/>
  <c r="O806" i="19"/>
  <c r="L805" i="19"/>
  <c r="O805" i="19" s="1"/>
  <c r="J537" i="19"/>
  <c r="J522" i="19" s="1"/>
  <c r="K538" i="19"/>
  <c r="P738" i="19"/>
  <c r="M737" i="19"/>
  <c r="P737" i="19" s="1"/>
  <c r="J669" i="19"/>
  <c r="J654" i="19" s="1"/>
  <c r="K675" i="19"/>
  <c r="P686" i="19"/>
  <c r="N737" i="19"/>
  <c r="N414" i="19" s="1"/>
  <c r="O545" i="19"/>
  <c r="K651" i="19"/>
  <c r="I628" i="19"/>
  <c r="K628" i="19" s="1"/>
  <c r="P771" i="19"/>
  <c r="M770" i="19"/>
  <c r="P770" i="19" s="1"/>
  <c r="O303" i="19"/>
  <c r="I434" i="19"/>
  <c r="K438" i="19"/>
  <c r="L533" i="19"/>
  <c r="O533" i="19" s="1"/>
  <c r="O535" i="19"/>
  <c r="L525" i="19"/>
  <c r="J593" i="19"/>
  <c r="N770" i="19"/>
  <c r="O787" i="19"/>
  <c r="M405" i="19"/>
  <c r="P405" i="19" s="1"/>
  <c r="M408" i="19"/>
  <c r="P408" i="19" s="1"/>
  <c r="L470" i="19"/>
  <c r="O470" i="19" s="1"/>
  <c r="L477" i="19"/>
  <c r="O477" i="19" s="1"/>
  <c r="L632" i="19"/>
  <c r="O632" i="19" s="1"/>
  <c r="L639" i="19"/>
  <c r="O639" i="19" s="1"/>
  <c r="L655" i="19"/>
  <c r="O655" i="19" s="1"/>
  <c r="M786" i="19"/>
  <c r="P786" i="19" s="1"/>
  <c r="M805" i="19"/>
  <c r="P805" i="19" s="1"/>
  <c r="K365" i="19"/>
  <c r="J433" i="19"/>
  <c r="J417" i="19" s="1"/>
  <c r="M472" i="19"/>
  <c r="K672" i="19"/>
  <c r="M690" i="19"/>
  <c r="N505" i="19"/>
  <c r="I543" i="19"/>
  <c r="K543" i="19" s="1"/>
  <c r="K669" i="19"/>
  <c r="K673" i="19"/>
  <c r="L687" i="19"/>
  <c r="I654" i="19"/>
  <c r="K654" i="19" s="1"/>
  <c r="L135" i="17"/>
  <c r="O135" i="17" s="1"/>
  <c r="M138" i="17"/>
  <c r="P138" i="17" s="1"/>
  <c r="L68" i="18"/>
  <c r="O96" i="18"/>
  <c r="L122" i="18"/>
  <c r="O122" i="18" s="1"/>
  <c r="J143" i="18"/>
  <c r="J131" i="18" s="1"/>
  <c r="L152" i="18"/>
  <c r="O152" i="18" s="1"/>
  <c r="M187" i="18"/>
  <c r="P187" i="18" s="1"/>
  <c r="P266" i="18"/>
  <c r="L263" i="18"/>
  <c r="M348" i="18"/>
  <c r="P348" i="18" s="1"/>
  <c r="N347" i="18"/>
  <c r="N345" i="18" s="1"/>
  <c r="K379" i="18"/>
  <c r="L533" i="18"/>
  <c r="O533" i="18" s="1"/>
  <c r="K827" i="18"/>
  <c r="L151" i="18"/>
  <c r="O151" i="18" s="1"/>
  <c r="L525" i="18"/>
  <c r="O525" i="18" s="1"/>
  <c r="I190" i="18"/>
  <c r="K190" i="18" s="1"/>
  <c r="M300" i="18"/>
  <c r="M298" i="18" s="1"/>
  <c r="P298" i="18" s="1"/>
  <c r="L33" i="18"/>
  <c r="O33" i="18" s="1"/>
  <c r="O285" i="17"/>
  <c r="O127" i="18"/>
  <c r="N168" i="18"/>
  <c r="P168" i="18" s="1"/>
  <c r="M171" i="18"/>
  <c r="P171" i="18" s="1"/>
  <c r="M267" i="18"/>
  <c r="P267" i="18" s="1"/>
  <c r="M301" i="18"/>
  <c r="P301" i="18" s="1"/>
  <c r="N300" i="18"/>
  <c r="N298" i="18" s="1"/>
  <c r="K462" i="18"/>
  <c r="L469" i="18"/>
  <c r="O469" i="18" s="1"/>
  <c r="K649" i="18"/>
  <c r="O154" i="16"/>
  <c r="K360" i="16"/>
  <c r="L90" i="18"/>
  <c r="L88" i="18" s="1"/>
  <c r="L26" i="18"/>
  <c r="L24" i="18" s="1"/>
  <c r="L183" i="18"/>
  <c r="L181" i="18" s="1"/>
  <c r="M318" i="18"/>
  <c r="L317" i="18"/>
  <c r="L315" i="18" s="1"/>
  <c r="L69" i="16"/>
  <c r="O69" i="16" s="1"/>
  <c r="L631" i="17"/>
  <c r="L629" i="17" s="1"/>
  <c r="P74" i="18"/>
  <c r="M26" i="18"/>
  <c r="M24" i="18" s="1"/>
  <c r="I112" i="18"/>
  <c r="K112" i="18" s="1"/>
  <c r="M183" i="18"/>
  <c r="L249" i="18"/>
  <c r="O249" i="18" s="1"/>
  <c r="I654" i="18"/>
  <c r="K654" i="18" s="1"/>
  <c r="K720" i="17"/>
  <c r="L44" i="18"/>
  <c r="O44" i="18" s="1"/>
  <c r="L69" i="18"/>
  <c r="O69" i="18" s="1"/>
  <c r="M90" i="18"/>
  <c r="M88" i="18" s="1"/>
  <c r="M151" i="18"/>
  <c r="P151" i="18" s="1"/>
  <c r="K176" i="18"/>
  <c r="P186" i="18"/>
  <c r="K224" i="18"/>
  <c r="O282" i="18"/>
  <c r="L280" i="18"/>
  <c r="O280" i="18" s="1"/>
  <c r="O285" i="18"/>
  <c r="L283" i="18"/>
  <c r="O283" i="18" s="1"/>
  <c r="M304" i="18"/>
  <c r="P304" i="18" s="1"/>
  <c r="P333" i="18"/>
  <c r="M331" i="18"/>
  <c r="J537" i="18"/>
  <c r="K538" i="18"/>
  <c r="O690" i="18"/>
  <c r="L688" i="18"/>
  <c r="O688" i="18" s="1"/>
  <c r="N317" i="15"/>
  <c r="N315" i="15" s="1"/>
  <c r="M167" i="17"/>
  <c r="M165" i="17" s="1"/>
  <c r="L90" i="15"/>
  <c r="N68" i="17"/>
  <c r="N66" i="17" s="1"/>
  <c r="L230" i="17"/>
  <c r="P303" i="17"/>
  <c r="N55" i="18"/>
  <c r="N53" i="18" s="1"/>
  <c r="P56" i="18"/>
  <c r="O61" i="18"/>
  <c r="O71" i="18"/>
  <c r="I77" i="18"/>
  <c r="N90" i="18"/>
  <c r="N88" i="18" s="1"/>
  <c r="L121" i="18"/>
  <c r="L119" i="18" s="1"/>
  <c r="N134" i="18"/>
  <c r="N132" i="18" s="1"/>
  <c r="N151" i="18"/>
  <c r="N149" i="18" s="1"/>
  <c r="P170" i="18"/>
  <c r="L187" i="18"/>
  <c r="O187" i="18" s="1"/>
  <c r="L217" i="18"/>
  <c r="O217" i="18" s="1"/>
  <c r="L229" i="18"/>
  <c r="L279" i="18"/>
  <c r="N304" i="18"/>
  <c r="P306" i="18"/>
  <c r="J364" i="18"/>
  <c r="N391" i="18"/>
  <c r="N389" i="18" s="1"/>
  <c r="M43" i="16"/>
  <c r="M41" i="16" s="1"/>
  <c r="N43" i="16"/>
  <c r="N41" i="16" s="1"/>
  <c r="I297" i="16"/>
  <c r="K297" i="16" s="1"/>
  <c r="K701" i="16"/>
  <c r="M171" i="17"/>
  <c r="P171" i="17" s="1"/>
  <c r="P173" i="17"/>
  <c r="N183" i="17"/>
  <c r="N181" i="17" s="1"/>
  <c r="M304" i="17"/>
  <c r="P304" i="17" s="1"/>
  <c r="L56" i="18"/>
  <c r="O56" i="18" s="1"/>
  <c r="I76" i="18"/>
  <c r="L91" i="18"/>
  <c r="P96" i="18"/>
  <c r="M121" i="18"/>
  <c r="M119" i="18" s="1"/>
  <c r="L135" i="18"/>
  <c r="O135" i="18" s="1"/>
  <c r="K325" i="18"/>
  <c r="I314" i="18"/>
  <c r="K314" i="18" s="1"/>
  <c r="K374" i="18"/>
  <c r="M528" i="18"/>
  <c r="P528" i="18" s="1"/>
  <c r="O528" i="18"/>
  <c r="L526" i="18"/>
  <c r="O526" i="18" s="1"/>
  <c r="L334" i="18"/>
  <c r="O334" i="18" s="1"/>
  <c r="O336" i="18"/>
  <c r="L228" i="17"/>
  <c r="N26" i="18"/>
  <c r="N16" i="18" s="1"/>
  <c r="N14" i="18" s="1"/>
  <c r="N121" i="18"/>
  <c r="N119" i="18" s="1"/>
  <c r="J327" i="18"/>
  <c r="K327" i="18" s="1"/>
  <c r="L300" i="17"/>
  <c r="L217" i="17"/>
  <c r="O217" i="17" s="1"/>
  <c r="K466" i="17"/>
  <c r="K647" i="17"/>
  <c r="J721" i="17"/>
  <c r="K721" i="17" s="1"/>
  <c r="P61" i="18"/>
  <c r="I86" i="18"/>
  <c r="K86" i="18" s="1"/>
  <c r="K174" i="18"/>
  <c r="L198" i="18"/>
  <c r="O198" i="18" s="1"/>
  <c r="K216" i="18"/>
  <c r="N351" i="18"/>
  <c r="O351" i="18" s="1"/>
  <c r="J721" i="18"/>
  <c r="K823" i="18"/>
  <c r="K828" i="18"/>
  <c r="K381" i="18"/>
  <c r="M395" i="18"/>
  <c r="P395" i="18" s="1"/>
  <c r="J433" i="18"/>
  <c r="J417" i="18" s="1"/>
  <c r="K340" i="18"/>
  <c r="K369" i="18"/>
  <c r="K674" i="18"/>
  <c r="M791" i="18"/>
  <c r="P791" i="18" s="1"/>
  <c r="M347" i="18"/>
  <c r="K385" i="18"/>
  <c r="K647" i="18"/>
  <c r="L657" i="18"/>
  <c r="O657" i="18" s="1"/>
  <c r="K675" i="18"/>
  <c r="P124" i="17"/>
  <c r="M122" i="17"/>
  <c r="P122" i="17" s="1"/>
  <c r="N167" i="17"/>
  <c r="N165" i="17" s="1"/>
  <c r="N171" i="17"/>
  <c r="P350" i="17"/>
  <c r="M348" i="17"/>
  <c r="P348" i="17" s="1"/>
  <c r="O410" i="17"/>
  <c r="L408" i="17"/>
  <c r="O408" i="17" s="1"/>
  <c r="M549" i="17"/>
  <c r="P549" i="17" s="1"/>
  <c r="L546" i="17"/>
  <c r="O546" i="17" s="1"/>
  <c r="K224" i="17"/>
  <c r="I216" i="17"/>
  <c r="K216" i="17" s="1"/>
  <c r="P336" i="17"/>
  <c r="M334" i="17"/>
  <c r="P334" i="17" s="1"/>
  <c r="N134" i="17"/>
  <c r="N132" i="17" s="1"/>
  <c r="N9" i="18"/>
  <c r="O32" i="18"/>
  <c r="L29" i="18"/>
  <c r="N90" i="15"/>
  <c r="N88" i="15" s="1"/>
  <c r="M279" i="17"/>
  <c r="M277" i="17" s="1"/>
  <c r="P42" i="18"/>
  <c r="K115" i="18"/>
  <c r="N90" i="16"/>
  <c r="N88" i="16" s="1"/>
  <c r="K378" i="16"/>
  <c r="M263" i="17"/>
  <c r="M261" i="17" s="1"/>
  <c r="P266" i="17"/>
  <c r="K372" i="17"/>
  <c r="N392" i="17"/>
  <c r="K577" i="17"/>
  <c r="O25" i="18"/>
  <c r="L15" i="18"/>
  <c r="M44" i="18"/>
  <c r="P44" i="18" s="1"/>
  <c r="M23" i="18"/>
  <c r="J164" i="18"/>
  <c r="K164" i="18" s="1"/>
  <c r="L238" i="18"/>
  <c r="L228" i="18"/>
  <c r="P329" i="18"/>
  <c r="L639" i="18"/>
  <c r="O639" i="18" s="1"/>
  <c r="O641" i="18"/>
  <c r="I443" i="11"/>
  <c r="K443" i="11" s="1"/>
  <c r="L317" i="15"/>
  <c r="L315" i="15" s="1"/>
  <c r="O315" i="15" s="1"/>
  <c r="I559" i="15"/>
  <c r="I543" i="15" s="1"/>
  <c r="K543" i="15" s="1"/>
  <c r="L43" i="16"/>
  <c r="L41" i="16" s="1"/>
  <c r="I76" i="16"/>
  <c r="K76" i="16" s="1"/>
  <c r="I260" i="16"/>
  <c r="K260" i="16" s="1"/>
  <c r="N69" i="17"/>
  <c r="P74" i="17"/>
  <c r="L209" i="17"/>
  <c r="O209" i="17" s="1"/>
  <c r="M267" i="17"/>
  <c r="P267" i="17" s="1"/>
  <c r="K729" i="17"/>
  <c r="L12" i="18"/>
  <c r="N19" i="18"/>
  <c r="L23" i="18"/>
  <c r="L36" i="18"/>
  <c r="O42" i="18"/>
  <c r="N23" i="18"/>
  <c r="N21" i="18" s="1"/>
  <c r="O46" i="18"/>
  <c r="P58" i="18"/>
  <c r="P59" i="18"/>
  <c r="O67" i="18"/>
  <c r="L134" i="18"/>
  <c r="M167" i="18"/>
  <c r="L168" i="18"/>
  <c r="O170" i="18"/>
  <c r="P182" i="18"/>
  <c r="K215" i="18"/>
  <c r="I208" i="18"/>
  <c r="K208" i="18" s="1"/>
  <c r="K362" i="18"/>
  <c r="J355" i="18"/>
  <c r="K355" i="18" s="1"/>
  <c r="L770" i="18"/>
  <c r="O770" i="18" s="1"/>
  <c r="O772" i="18"/>
  <c r="K700" i="17"/>
  <c r="O19" i="18"/>
  <c r="P67" i="18"/>
  <c r="I87" i="18"/>
  <c r="K87" i="18" s="1"/>
  <c r="K99" i="18"/>
  <c r="I130" i="18"/>
  <c r="K130" i="18" s="1"/>
  <c r="K146" i="18"/>
  <c r="K287" i="18"/>
  <c r="I276" i="18"/>
  <c r="K276" i="18" s="1"/>
  <c r="L788" i="15"/>
  <c r="O788" i="15" s="1"/>
  <c r="L47" i="17"/>
  <c r="O47" i="17" s="1"/>
  <c r="I76" i="17"/>
  <c r="K76" i="17" s="1"/>
  <c r="L229" i="17"/>
  <c r="O331" i="17"/>
  <c r="K340" i="17"/>
  <c r="I364" i="17"/>
  <c r="K821" i="17"/>
  <c r="K824" i="17"/>
  <c r="K827" i="17"/>
  <c r="P46" i="18"/>
  <c r="P71" i="18"/>
  <c r="N91" i="18"/>
  <c r="P93" i="18"/>
  <c r="N125" i="18"/>
  <c r="P127" i="18"/>
  <c r="L171" i="18"/>
  <c r="O171" i="18" s="1"/>
  <c r="O173" i="18"/>
  <c r="N317" i="16"/>
  <c r="N315" i="16" s="1"/>
  <c r="K362" i="16"/>
  <c r="L533" i="16"/>
  <c r="O533" i="16" s="1"/>
  <c r="P93" i="17"/>
  <c r="L318" i="17"/>
  <c r="O318" i="17" s="1"/>
  <c r="P331" i="17"/>
  <c r="N29" i="18"/>
  <c r="N28" i="18" s="1"/>
  <c r="M43" i="18"/>
  <c r="M55" i="18"/>
  <c r="M68" i="18"/>
  <c r="O166" i="18"/>
  <c r="P346" i="18"/>
  <c r="J288" i="18"/>
  <c r="J275" i="18" s="1"/>
  <c r="L395" i="18"/>
  <c r="O395" i="18" s="1"/>
  <c r="O397" i="18"/>
  <c r="L391" i="18"/>
  <c r="L454" i="18"/>
  <c r="O454" i="18" s="1"/>
  <c r="O456" i="18"/>
  <c r="O266" i="18"/>
  <c r="L264" i="18"/>
  <c r="O264" i="18" s="1"/>
  <c r="N317" i="18"/>
  <c r="L331" i="18"/>
  <c r="O333" i="18"/>
  <c r="L348" i="18"/>
  <c r="O348" i="18" s="1"/>
  <c r="O350" i="18"/>
  <c r="L347" i="18"/>
  <c r="O278" i="18"/>
  <c r="P282" i="18"/>
  <c r="M280" i="18"/>
  <c r="P280" i="18" s="1"/>
  <c r="O303" i="18"/>
  <c r="L301" i="18"/>
  <c r="O301" i="18" s="1"/>
  <c r="P316" i="18"/>
  <c r="O262" i="18"/>
  <c r="M264" i="18"/>
  <c r="P264" i="18" s="1"/>
  <c r="O269" i="18"/>
  <c r="L267" i="18"/>
  <c r="O267" i="18" s="1"/>
  <c r="I275" i="18"/>
  <c r="P285" i="18"/>
  <c r="M283" i="18"/>
  <c r="P283" i="18" s="1"/>
  <c r="P353" i="18"/>
  <c r="M351" i="18"/>
  <c r="I364" i="18"/>
  <c r="K365" i="18"/>
  <c r="P407" i="18"/>
  <c r="M404" i="18"/>
  <c r="P404" i="18" s="1"/>
  <c r="N419" i="18"/>
  <c r="P445" i="18"/>
  <c r="M444" i="18"/>
  <c r="P444" i="18" s="1"/>
  <c r="M15" i="18"/>
  <c r="M9" i="18" s="1"/>
  <c r="M29" i="18"/>
  <c r="N184" i="18"/>
  <c r="P184" i="18" s="1"/>
  <c r="O186" i="18"/>
  <c r="I233" i="18"/>
  <c r="K233" i="18" s="1"/>
  <c r="K244" i="18"/>
  <c r="I237" i="18"/>
  <c r="K255" i="18"/>
  <c r="I248" i="18"/>
  <c r="K248" i="18" s="1"/>
  <c r="O306" i="18"/>
  <c r="L304" i="18"/>
  <c r="O304" i="18" s="1"/>
  <c r="N318" i="18"/>
  <c r="O320" i="18"/>
  <c r="M334" i="18"/>
  <c r="P334" i="18" s="1"/>
  <c r="P336" i="18"/>
  <c r="M330" i="18"/>
  <c r="L429" i="18"/>
  <c r="O429" i="18" s="1"/>
  <c r="L421" i="18"/>
  <c r="O431" i="18"/>
  <c r="I434" i="18"/>
  <c r="K438" i="18"/>
  <c r="K577" i="18"/>
  <c r="M392" i="18"/>
  <c r="P392" i="18" s="1"/>
  <c r="L404" i="18"/>
  <c r="O404" i="18" s="1"/>
  <c r="N444" i="18"/>
  <c r="L447" i="18"/>
  <c r="O447" i="18" s="1"/>
  <c r="N469" i="18"/>
  <c r="N467" i="18" s="1"/>
  <c r="K569" i="18"/>
  <c r="K651" i="18"/>
  <c r="I628" i="18"/>
  <c r="K628" i="18" s="1"/>
  <c r="M472" i="18"/>
  <c r="O472" i="18"/>
  <c r="O524" i="18"/>
  <c r="L632" i="18"/>
  <c r="O632" i="18" s="1"/>
  <c r="M634" i="18"/>
  <c r="J785" i="18"/>
  <c r="M391" i="18"/>
  <c r="I433" i="18"/>
  <c r="K435" i="18"/>
  <c r="L446" i="18"/>
  <c r="L470" i="18"/>
  <c r="O470" i="18" s="1"/>
  <c r="K559" i="18"/>
  <c r="I543" i="18"/>
  <c r="K543" i="18" s="1"/>
  <c r="O353" i="18"/>
  <c r="O394" i="18"/>
  <c r="O424" i="18"/>
  <c r="O549" i="18"/>
  <c r="L547" i="18"/>
  <c r="O547" i="18" s="1"/>
  <c r="O634" i="18"/>
  <c r="N739" i="18"/>
  <c r="N737" i="18" s="1"/>
  <c r="P468" i="18"/>
  <c r="M545" i="18"/>
  <c r="M549" i="18"/>
  <c r="K576" i="18"/>
  <c r="L631" i="18"/>
  <c r="O656" i="18"/>
  <c r="M770" i="18"/>
  <c r="P770" i="18" s="1"/>
  <c r="N786" i="18"/>
  <c r="K669" i="18"/>
  <c r="L687" i="18"/>
  <c r="O285" i="16"/>
  <c r="L283" i="16"/>
  <c r="O283" i="16" s="1"/>
  <c r="M304" i="16"/>
  <c r="P304" i="16" s="1"/>
  <c r="P306" i="16"/>
  <c r="O46" i="17"/>
  <c r="L44" i="17"/>
  <c r="O44" i="17" s="1"/>
  <c r="O61" i="17"/>
  <c r="L55" i="17"/>
  <c r="L53" i="17" s="1"/>
  <c r="M408" i="17"/>
  <c r="P408" i="17" s="1"/>
  <c r="P410" i="17"/>
  <c r="K673" i="17"/>
  <c r="K674" i="17"/>
  <c r="N183" i="14"/>
  <c r="N181" i="14" s="1"/>
  <c r="P61" i="17"/>
  <c r="M59" i="17"/>
  <c r="P59" i="17" s="1"/>
  <c r="N138" i="17"/>
  <c r="N404" i="17"/>
  <c r="N402" i="17" s="1"/>
  <c r="N408" i="17"/>
  <c r="L477" i="17"/>
  <c r="O477" i="17" s="1"/>
  <c r="L36" i="17"/>
  <c r="L34" i="17" s="1"/>
  <c r="O34" i="17" s="1"/>
  <c r="L639" i="17"/>
  <c r="O639" i="17" s="1"/>
  <c r="O641" i="17"/>
  <c r="L43" i="17"/>
  <c r="L41" i="17" s="1"/>
  <c r="O479" i="17"/>
  <c r="M634" i="16"/>
  <c r="P634" i="16" s="1"/>
  <c r="L632" i="16"/>
  <c r="O632" i="16" s="1"/>
  <c r="K462" i="17"/>
  <c r="I443" i="17"/>
  <c r="K443" i="17" s="1"/>
  <c r="L122" i="17"/>
  <c r="O122" i="17" s="1"/>
  <c r="O124" i="17"/>
  <c r="L238" i="17"/>
  <c r="O238" i="17" s="1"/>
  <c r="I297" i="17"/>
  <c r="K297" i="17" s="1"/>
  <c r="K309" i="17"/>
  <c r="M391" i="17"/>
  <c r="P391" i="17" s="1"/>
  <c r="P394" i="17"/>
  <c r="M392" i="17"/>
  <c r="P392" i="17" s="1"/>
  <c r="L68" i="17"/>
  <c r="L69" i="17"/>
  <c r="K271" i="17"/>
  <c r="I260" i="17"/>
  <c r="K260" i="17" s="1"/>
  <c r="N279" i="17"/>
  <c r="N277" i="17" s="1"/>
  <c r="L392" i="17"/>
  <c r="O392" i="17" s="1"/>
  <c r="I522" i="17"/>
  <c r="K522" i="17" s="1"/>
  <c r="K537" i="17"/>
  <c r="N300" i="16"/>
  <c r="N298" i="16" s="1"/>
  <c r="K359" i="16"/>
  <c r="J722" i="16"/>
  <c r="K722" i="16" s="1"/>
  <c r="K381" i="17"/>
  <c r="M121" i="17"/>
  <c r="P121" i="17" s="1"/>
  <c r="K594" i="17"/>
  <c r="M395" i="16"/>
  <c r="P395" i="16" s="1"/>
  <c r="K628" i="16"/>
  <c r="L72" i="17"/>
  <c r="O72" i="17" s="1"/>
  <c r="N330" i="17"/>
  <c r="N328" i="17" s="1"/>
  <c r="O350" i="17"/>
  <c r="M395" i="17"/>
  <c r="P395" i="17" s="1"/>
  <c r="P58" i="17"/>
  <c r="K385" i="17"/>
  <c r="O472" i="17"/>
  <c r="P137" i="17"/>
  <c r="M134" i="17"/>
  <c r="P134" i="17" s="1"/>
  <c r="N263" i="17"/>
  <c r="N261" i="17" s="1"/>
  <c r="N334" i="17"/>
  <c r="L526" i="17"/>
  <c r="O526" i="17" s="1"/>
  <c r="J722" i="17"/>
  <c r="K722" i="17" s="1"/>
  <c r="K287" i="17"/>
  <c r="I276" i="17"/>
  <c r="K276" i="17" s="1"/>
  <c r="O157" i="16"/>
  <c r="L155" i="16"/>
  <c r="O155" i="16" s="1"/>
  <c r="K159" i="17"/>
  <c r="P186" i="13"/>
  <c r="P46" i="15"/>
  <c r="P140" i="16"/>
  <c r="M138" i="16"/>
  <c r="P138" i="16" s="1"/>
  <c r="P336" i="16"/>
  <c r="M334" i="16"/>
  <c r="P334" i="16" s="1"/>
  <c r="K435" i="16"/>
  <c r="I433" i="16"/>
  <c r="I417" i="16" s="1"/>
  <c r="L23" i="17"/>
  <c r="L21" i="17" s="1"/>
  <c r="L56" i="17"/>
  <c r="O56" i="17" s="1"/>
  <c r="L155" i="17"/>
  <c r="O155" i="17" s="1"/>
  <c r="O157" i="17"/>
  <c r="K255" i="17"/>
  <c r="L279" i="17"/>
  <c r="O282" i="17"/>
  <c r="L280" i="17"/>
  <c r="O280" i="17" s="1"/>
  <c r="L330" i="17"/>
  <c r="L328" i="17" s="1"/>
  <c r="O333" i="17"/>
  <c r="O353" i="17"/>
  <c r="K359" i="17"/>
  <c r="L632" i="17"/>
  <c r="O632" i="17" s="1"/>
  <c r="M634" i="17"/>
  <c r="P634" i="17" s="1"/>
  <c r="M690" i="17"/>
  <c r="M688" i="17" s="1"/>
  <c r="P688" i="17" s="1"/>
  <c r="L687" i="17"/>
  <c r="L685" i="17" s="1"/>
  <c r="O685" i="17" s="1"/>
  <c r="O690" i="17"/>
  <c r="N167" i="16"/>
  <c r="I87" i="16"/>
  <c r="K87" i="16" s="1"/>
  <c r="L33" i="17"/>
  <c r="O33" i="17" s="1"/>
  <c r="M90" i="17"/>
  <c r="M88" i="17" s="1"/>
  <c r="P96" i="17"/>
  <c r="K143" i="17"/>
  <c r="I131" i="17"/>
  <c r="K131" i="17" s="1"/>
  <c r="M183" i="17"/>
  <c r="M181" i="17" s="1"/>
  <c r="K244" i="17"/>
  <c r="I233" i="17"/>
  <c r="K233" i="17" s="1"/>
  <c r="O323" i="17"/>
  <c r="L317" i="17"/>
  <c r="O317" i="17" s="1"/>
  <c r="L321" i="17"/>
  <c r="O321" i="17" s="1"/>
  <c r="P353" i="17"/>
  <c r="O407" i="17"/>
  <c r="L404" i="17"/>
  <c r="O404" i="17" s="1"/>
  <c r="O61" i="15"/>
  <c r="L59" i="15"/>
  <c r="O59" i="15" s="1"/>
  <c r="M135" i="17"/>
  <c r="P135" i="17" s="1"/>
  <c r="P127" i="17"/>
  <c r="M125" i="17"/>
  <c r="P125" i="17" s="1"/>
  <c r="P189" i="17"/>
  <c r="M187" i="17"/>
  <c r="P187" i="17" s="1"/>
  <c r="N351" i="17"/>
  <c r="O351" i="17" s="1"/>
  <c r="N347" i="17"/>
  <c r="N345" i="17" s="1"/>
  <c r="M405" i="17"/>
  <c r="P405" i="17" s="1"/>
  <c r="P407" i="17"/>
  <c r="M404" i="17"/>
  <c r="K672" i="17"/>
  <c r="I654" i="17"/>
  <c r="K654" i="17" s="1"/>
  <c r="M69" i="17"/>
  <c r="P71" i="17"/>
  <c r="K674" i="16"/>
  <c r="I654" i="16"/>
  <c r="K654" i="16" s="1"/>
  <c r="M94" i="17"/>
  <c r="P94" i="17" s="1"/>
  <c r="P170" i="17"/>
  <c r="M168" i="17"/>
  <c r="P168" i="17" s="1"/>
  <c r="N184" i="17"/>
  <c r="P184" i="17" s="1"/>
  <c r="P186" i="17"/>
  <c r="I208" i="17"/>
  <c r="K208" i="17" s="1"/>
  <c r="K215" i="17"/>
  <c r="M351" i="17"/>
  <c r="O397" i="17"/>
  <c r="L395" i="17"/>
  <c r="O395" i="17" s="1"/>
  <c r="L405" i="17"/>
  <c r="O405" i="17" s="1"/>
  <c r="K435" i="17"/>
  <c r="I433" i="17"/>
  <c r="I417" i="17" s="1"/>
  <c r="K460" i="17"/>
  <c r="K355" i="14"/>
  <c r="L229" i="15"/>
  <c r="L229" i="16"/>
  <c r="K379" i="16"/>
  <c r="K466" i="16"/>
  <c r="L26" i="17"/>
  <c r="O71" i="17"/>
  <c r="N121" i="17"/>
  <c r="N119" i="17" s="1"/>
  <c r="M330" i="17"/>
  <c r="K369" i="17"/>
  <c r="K649" i="17"/>
  <c r="K669" i="17"/>
  <c r="K699" i="17"/>
  <c r="I76" i="15"/>
  <c r="I64" i="15" s="1"/>
  <c r="K64" i="15" s="1"/>
  <c r="L230" i="16"/>
  <c r="M26" i="17"/>
  <c r="M16" i="17" s="1"/>
  <c r="P44" i="17"/>
  <c r="N55" i="17"/>
  <c r="N53" i="17" s="1"/>
  <c r="O91" i="17"/>
  <c r="L134" i="17"/>
  <c r="O134" i="17" s="1"/>
  <c r="K193" i="17"/>
  <c r="J327" i="17"/>
  <c r="K327" i="17" s="1"/>
  <c r="L348" i="17"/>
  <c r="O348" i="17" s="1"/>
  <c r="K378" i="17"/>
  <c r="L469" i="17"/>
  <c r="K723" i="17"/>
  <c r="K355" i="16"/>
  <c r="L657" i="16"/>
  <c r="L655" i="16" s="1"/>
  <c r="O655" i="16" s="1"/>
  <c r="J721" i="16"/>
  <c r="K721" i="16" s="1"/>
  <c r="K86" i="17"/>
  <c r="L138" i="17"/>
  <c r="O138" i="17" s="1"/>
  <c r="K370" i="17"/>
  <c r="K823" i="17"/>
  <c r="K826" i="17"/>
  <c r="M47" i="16"/>
  <c r="P47" i="16" s="1"/>
  <c r="N279" i="16"/>
  <c r="N277" i="16" s="1"/>
  <c r="I77" i="17"/>
  <c r="K77" i="17" s="1"/>
  <c r="P91" i="17"/>
  <c r="K190" i="17"/>
  <c r="L231" i="17"/>
  <c r="K379" i="17"/>
  <c r="O29" i="17"/>
  <c r="O15" i="17"/>
  <c r="P19" i="17"/>
  <c r="O19" i="17"/>
  <c r="K708" i="13"/>
  <c r="M279" i="15"/>
  <c r="M277" i="15" s="1"/>
  <c r="P277" i="15" s="1"/>
  <c r="J143" i="16"/>
  <c r="J131" i="16" s="1"/>
  <c r="O170" i="16"/>
  <c r="L198" i="16"/>
  <c r="O198" i="16" s="1"/>
  <c r="I248" i="16"/>
  <c r="I226" i="16" s="1"/>
  <c r="I180" i="16" s="1"/>
  <c r="K180" i="16" s="1"/>
  <c r="M283" i="16"/>
  <c r="P283" i="16" s="1"/>
  <c r="L788" i="16"/>
  <c r="O788" i="16" s="1"/>
  <c r="K821" i="16"/>
  <c r="K824" i="16"/>
  <c r="K827" i="16"/>
  <c r="O22" i="17"/>
  <c r="P32" i="17"/>
  <c r="M29" i="17"/>
  <c r="M43" i="17"/>
  <c r="N23" i="17"/>
  <c r="M55" i="17"/>
  <c r="K79" i="17"/>
  <c r="O96" i="17"/>
  <c r="K99" i="17"/>
  <c r="L151" i="17"/>
  <c r="O154" i="17"/>
  <c r="N227" i="17"/>
  <c r="P154" i="17"/>
  <c r="N152" i="17"/>
  <c r="O152" i="17" s="1"/>
  <c r="L469" i="15"/>
  <c r="L467" i="15" s="1"/>
  <c r="O467" i="15" s="1"/>
  <c r="L90" i="16"/>
  <c r="P170" i="16"/>
  <c r="M351" i="16"/>
  <c r="P351" i="16" s="1"/>
  <c r="K651" i="16"/>
  <c r="L12" i="17"/>
  <c r="O25" i="17"/>
  <c r="N43" i="17"/>
  <c r="P49" i="17"/>
  <c r="L90" i="17"/>
  <c r="O127" i="17"/>
  <c r="O140" i="17"/>
  <c r="O173" i="17"/>
  <c r="L171" i="17"/>
  <c r="O171" i="17" s="1"/>
  <c r="O189" i="17"/>
  <c r="L187" i="17"/>
  <c r="O187" i="17" s="1"/>
  <c r="L249" i="17"/>
  <c r="O249" i="17" s="1"/>
  <c r="O278" i="17"/>
  <c r="J592" i="17"/>
  <c r="K592" i="17" s="1"/>
  <c r="K593" i="17"/>
  <c r="I77" i="16"/>
  <c r="K77" i="16" s="1"/>
  <c r="L421" i="16"/>
  <c r="L419" i="16" s="1"/>
  <c r="L454" i="16"/>
  <c r="O454" i="16" s="1"/>
  <c r="P12" i="17"/>
  <c r="O32" i="17"/>
  <c r="P46" i="17"/>
  <c r="M68" i="17"/>
  <c r="O93" i="17"/>
  <c r="K98" i="17"/>
  <c r="I112" i="17"/>
  <c r="K112" i="17" s="1"/>
  <c r="L121" i="17"/>
  <c r="I130" i="17"/>
  <c r="K130" i="17" s="1"/>
  <c r="K146" i="17"/>
  <c r="N151" i="17"/>
  <c r="O166" i="17"/>
  <c r="M280" i="17"/>
  <c r="P280" i="17" s="1"/>
  <c r="P282" i="17"/>
  <c r="O170" i="17"/>
  <c r="L168" i="17"/>
  <c r="O168" i="17" s="1"/>
  <c r="O186" i="17"/>
  <c r="L184" i="17"/>
  <c r="P58" i="16"/>
  <c r="N168" i="16"/>
  <c r="M171" i="16"/>
  <c r="P171" i="16" s="1"/>
  <c r="K244" i="16"/>
  <c r="J327" i="16"/>
  <c r="K327" i="16" s="1"/>
  <c r="J364" i="16"/>
  <c r="P394" i="16"/>
  <c r="I522" i="16"/>
  <c r="K522" i="16" s="1"/>
  <c r="N12" i="17"/>
  <c r="M23" i="17"/>
  <c r="N31" i="17"/>
  <c r="O58" i="17"/>
  <c r="N90" i="17"/>
  <c r="K148" i="17"/>
  <c r="L167" i="17"/>
  <c r="L183" i="17"/>
  <c r="P25" i="17"/>
  <c r="M15" i="17"/>
  <c r="M9" i="17" s="1"/>
  <c r="K338" i="16"/>
  <c r="K381" i="16"/>
  <c r="K700" i="16"/>
  <c r="N26" i="17"/>
  <c r="P56" i="17"/>
  <c r="K87" i="17"/>
  <c r="O133" i="17"/>
  <c r="L198" i="17"/>
  <c r="O198" i="17" s="1"/>
  <c r="L264" i="17"/>
  <c r="O266" i="17"/>
  <c r="L267" i="17"/>
  <c r="O267" i="17" s="1"/>
  <c r="O269" i="17"/>
  <c r="M283" i="17"/>
  <c r="P283" i="17" s="1"/>
  <c r="P285" i="17"/>
  <c r="O420" i="17"/>
  <c r="J537" i="17"/>
  <c r="J522" i="17" s="1"/>
  <c r="K538" i="17"/>
  <c r="P166" i="17"/>
  <c r="I174" i="17"/>
  <c r="P182" i="17"/>
  <c r="N264" i="17"/>
  <c r="P264" i="17" s="1"/>
  <c r="I275" i="17"/>
  <c r="J288" i="17"/>
  <c r="J275" i="17" s="1"/>
  <c r="N301" i="17"/>
  <c r="I314" i="17"/>
  <c r="K314" i="17" s="1"/>
  <c r="M317" i="17"/>
  <c r="P317" i="17" s="1"/>
  <c r="P333" i="17"/>
  <c r="L347" i="17"/>
  <c r="J365" i="17"/>
  <c r="J374" i="17"/>
  <c r="K374" i="17" s="1"/>
  <c r="M422" i="17"/>
  <c r="P422" i="17" s="1"/>
  <c r="O431" i="17"/>
  <c r="L446" i="17"/>
  <c r="O449" i="17"/>
  <c r="M449" i="17"/>
  <c r="L547" i="17"/>
  <c r="O547" i="17" s="1"/>
  <c r="O549" i="17"/>
  <c r="K621" i="17"/>
  <c r="O660" i="17"/>
  <c r="M660" i="17"/>
  <c r="P755" i="17"/>
  <c r="M754" i="17"/>
  <c r="P754" i="17" s="1"/>
  <c r="N786" i="17"/>
  <c r="N414" i="17" s="1"/>
  <c r="P807" i="17"/>
  <c r="M805" i="17"/>
  <c r="P805" i="17" s="1"/>
  <c r="N317" i="17"/>
  <c r="N315" i="17" s="1"/>
  <c r="M347" i="17"/>
  <c r="O535" i="17"/>
  <c r="L525" i="17"/>
  <c r="N629" i="17"/>
  <c r="I785" i="17"/>
  <c r="K785" i="17" s="1"/>
  <c r="K800" i="17"/>
  <c r="O806" i="17"/>
  <c r="L805" i="17"/>
  <c r="O805" i="17" s="1"/>
  <c r="O303" i="17"/>
  <c r="O306" i="17"/>
  <c r="K338" i="17"/>
  <c r="L391" i="17"/>
  <c r="O391" i="17" s="1"/>
  <c r="O447" i="17"/>
  <c r="L454" i="17"/>
  <c r="O454" i="17" s="1"/>
  <c r="N502" i="17"/>
  <c r="L533" i="17"/>
  <c r="O533" i="17" s="1"/>
  <c r="O557" i="17"/>
  <c r="I559" i="17"/>
  <c r="K576" i="17"/>
  <c r="O634" i="17"/>
  <c r="O658" i="17"/>
  <c r="I197" i="17"/>
  <c r="K197" i="17" s="1"/>
  <c r="L421" i="17"/>
  <c r="O421" i="17" s="1"/>
  <c r="I434" i="17"/>
  <c r="P555" i="17"/>
  <c r="M545" i="17"/>
  <c r="P738" i="17"/>
  <c r="M737" i="17"/>
  <c r="P737" i="17" s="1"/>
  <c r="P771" i="17"/>
  <c r="M770" i="17"/>
  <c r="P770" i="17" s="1"/>
  <c r="P788" i="17"/>
  <c r="M786" i="17"/>
  <c r="P786" i="17" s="1"/>
  <c r="I237" i="17"/>
  <c r="M318" i="17"/>
  <c r="P318" i="17" s="1"/>
  <c r="O346" i="17"/>
  <c r="K362" i="17"/>
  <c r="M421" i="17"/>
  <c r="L422" i="17"/>
  <c r="O422" i="17" s="1"/>
  <c r="O424" i="17"/>
  <c r="M469" i="17"/>
  <c r="M470" i="17"/>
  <c r="P470" i="17" s="1"/>
  <c r="O545" i="17"/>
  <c r="K560" i="17"/>
  <c r="N631" i="17"/>
  <c r="K651" i="17"/>
  <c r="I628" i="17"/>
  <c r="K628" i="17" s="1"/>
  <c r="P686" i="17"/>
  <c r="O787" i="17"/>
  <c r="L470" i="17"/>
  <c r="O470" i="17" s="1"/>
  <c r="K675" i="17"/>
  <c r="O791" i="17"/>
  <c r="J433" i="17"/>
  <c r="L688" i="17"/>
  <c r="O688" i="17" s="1"/>
  <c r="K174" i="16"/>
  <c r="I164" i="16"/>
  <c r="K164" i="16" s="1"/>
  <c r="K237" i="16"/>
  <c r="M121" i="12"/>
  <c r="P121" i="12" s="1"/>
  <c r="L168" i="16"/>
  <c r="K176" i="16"/>
  <c r="I233" i="16"/>
  <c r="K233" i="16" s="1"/>
  <c r="I276" i="16"/>
  <c r="K276" i="16" s="1"/>
  <c r="N301" i="16"/>
  <c r="O301" i="16" s="1"/>
  <c r="O303" i="16"/>
  <c r="K372" i="16"/>
  <c r="O449" i="16"/>
  <c r="L789" i="16"/>
  <c r="O789" i="16" s="1"/>
  <c r="I190" i="15"/>
  <c r="K190" i="15" s="1"/>
  <c r="M408" i="15"/>
  <c r="P408" i="15" s="1"/>
  <c r="L94" i="16"/>
  <c r="O94" i="16" s="1"/>
  <c r="L125" i="16"/>
  <c r="O125" i="16" s="1"/>
  <c r="M134" i="16"/>
  <c r="P134" i="16" s="1"/>
  <c r="O189" i="16"/>
  <c r="O266" i="16"/>
  <c r="P303" i="16"/>
  <c r="L317" i="16"/>
  <c r="O317" i="16" s="1"/>
  <c r="M330" i="16"/>
  <c r="M328" i="16" s="1"/>
  <c r="M347" i="16"/>
  <c r="M345" i="16" s="1"/>
  <c r="N404" i="16"/>
  <c r="N402" i="16" s="1"/>
  <c r="I442" i="16"/>
  <c r="K442" i="16" s="1"/>
  <c r="L546" i="16"/>
  <c r="O546" i="16" s="1"/>
  <c r="K675" i="16"/>
  <c r="K720" i="16"/>
  <c r="K723" i="16"/>
  <c r="L135" i="14"/>
  <c r="O135" i="14" s="1"/>
  <c r="M330" i="15"/>
  <c r="M328" i="15" s="1"/>
  <c r="L391" i="15"/>
  <c r="O391" i="15" s="1"/>
  <c r="M94" i="16"/>
  <c r="P94" i="16" s="1"/>
  <c r="I112" i="16"/>
  <c r="K112" i="16" s="1"/>
  <c r="M135" i="16"/>
  <c r="P135" i="16" s="1"/>
  <c r="L151" i="16"/>
  <c r="L149" i="16" s="1"/>
  <c r="N263" i="16"/>
  <c r="L318" i="16"/>
  <c r="O318" i="16" s="1"/>
  <c r="L36" i="16"/>
  <c r="L34" i="16" s="1"/>
  <c r="O34" i="16" s="1"/>
  <c r="J722" i="15"/>
  <c r="P46" i="16"/>
  <c r="N23" i="16"/>
  <c r="N21" i="16" s="1"/>
  <c r="L152" i="16"/>
  <c r="O152" i="16" s="1"/>
  <c r="O269" i="16"/>
  <c r="O407" i="16"/>
  <c r="I275" i="13"/>
  <c r="K275" i="13" s="1"/>
  <c r="M55" i="13"/>
  <c r="M53" i="13" s="1"/>
  <c r="L263" i="16"/>
  <c r="L261" i="16" s="1"/>
  <c r="K823" i="16"/>
  <c r="K826" i="16"/>
  <c r="N347" i="14"/>
  <c r="N345" i="14" s="1"/>
  <c r="N91" i="16"/>
  <c r="P91" i="16" s="1"/>
  <c r="O397" i="16"/>
  <c r="L395" i="16"/>
  <c r="O395" i="16" s="1"/>
  <c r="L55" i="13"/>
  <c r="L53" i="13" s="1"/>
  <c r="P350" i="13"/>
  <c r="I130" i="14"/>
  <c r="K130" i="14" s="1"/>
  <c r="I237" i="14"/>
  <c r="K237" i="14" s="1"/>
  <c r="K821" i="14"/>
  <c r="M151" i="15"/>
  <c r="P151" i="15" s="1"/>
  <c r="N167" i="15"/>
  <c r="N165" i="15" s="1"/>
  <c r="N183" i="15"/>
  <c r="N181" i="15" s="1"/>
  <c r="I433" i="15"/>
  <c r="I417" i="15" s="1"/>
  <c r="N26" i="16"/>
  <c r="N24" i="16" s="1"/>
  <c r="P56" i="16"/>
  <c r="P74" i="16"/>
  <c r="M72" i="16"/>
  <c r="P72" i="16" s="1"/>
  <c r="K78" i="16"/>
  <c r="K81" i="16"/>
  <c r="N280" i="16"/>
  <c r="O280" i="16" s="1"/>
  <c r="P407" i="16"/>
  <c r="M404" i="16"/>
  <c r="L688" i="16"/>
  <c r="L687" i="16"/>
  <c r="L685" i="16" s="1"/>
  <c r="O685" i="16" s="1"/>
  <c r="M690" i="16"/>
  <c r="M688" i="16" s="1"/>
  <c r="L122" i="15"/>
  <c r="O122" i="15" s="1"/>
  <c r="M152" i="15"/>
  <c r="P152" i="15" s="1"/>
  <c r="M155" i="15"/>
  <c r="P155" i="15" s="1"/>
  <c r="M391" i="15"/>
  <c r="P391" i="15" s="1"/>
  <c r="M44" i="16"/>
  <c r="P44" i="16" s="1"/>
  <c r="L55" i="16"/>
  <c r="L53" i="16" s="1"/>
  <c r="O61" i="16"/>
  <c r="L121" i="16"/>
  <c r="L391" i="16"/>
  <c r="N138" i="16"/>
  <c r="N134" i="16"/>
  <c r="N132" i="16" s="1"/>
  <c r="N43" i="14"/>
  <c r="N41" i="14" s="1"/>
  <c r="M167" i="14"/>
  <c r="M165" i="14" s="1"/>
  <c r="O331" i="15"/>
  <c r="K378" i="15"/>
  <c r="N391" i="15"/>
  <c r="N389" i="15" s="1"/>
  <c r="O56" i="16"/>
  <c r="N69" i="16"/>
  <c r="N68" i="16"/>
  <c r="N66" i="16" s="1"/>
  <c r="O124" i="16"/>
  <c r="K193" i="16"/>
  <c r="I190" i="16"/>
  <c r="K190" i="16" s="1"/>
  <c r="O333" i="16"/>
  <c r="L330" i="16"/>
  <c r="L328" i="16" s="1"/>
  <c r="L334" i="16"/>
  <c r="O334" i="16" s="1"/>
  <c r="L351" i="16"/>
  <c r="O351" i="16" s="1"/>
  <c r="L347" i="16"/>
  <c r="L345" i="16" s="1"/>
  <c r="I443" i="16"/>
  <c r="K443" i="16" s="1"/>
  <c r="O528" i="16"/>
  <c r="L526" i="16"/>
  <c r="O526" i="16" s="1"/>
  <c r="O641" i="16"/>
  <c r="L631" i="16"/>
  <c r="O93" i="16"/>
  <c r="L639" i="16"/>
  <c r="O639" i="16" s="1"/>
  <c r="M300" i="14"/>
  <c r="P300" i="14" s="1"/>
  <c r="N43" i="15"/>
  <c r="N41" i="15" s="1"/>
  <c r="L183" i="15"/>
  <c r="L446" i="15"/>
  <c r="O446" i="15" s="1"/>
  <c r="L33" i="16"/>
  <c r="O33" i="16" s="1"/>
  <c r="M151" i="16"/>
  <c r="M149" i="16" s="1"/>
  <c r="M168" i="16"/>
  <c r="N184" i="16"/>
  <c r="P184" i="16" s="1"/>
  <c r="N183" i="16"/>
  <c r="N181" i="16" s="1"/>
  <c r="L238" i="16"/>
  <c r="O238" i="16" s="1"/>
  <c r="L228" i="16"/>
  <c r="L249" i="16"/>
  <c r="O249" i="16" s="1"/>
  <c r="N318" i="16"/>
  <c r="O323" i="16"/>
  <c r="K370" i="16"/>
  <c r="L231" i="16"/>
  <c r="M300" i="16"/>
  <c r="I314" i="16"/>
  <c r="K314" i="16" s="1"/>
  <c r="M391" i="16"/>
  <c r="I559" i="16"/>
  <c r="K559" i="16" s="1"/>
  <c r="K594" i="16"/>
  <c r="K649" i="16"/>
  <c r="K725" i="16"/>
  <c r="P93" i="16"/>
  <c r="P186" i="16"/>
  <c r="J537" i="16"/>
  <c r="J522" i="16" s="1"/>
  <c r="K647" i="16"/>
  <c r="K672" i="16"/>
  <c r="O690" i="16"/>
  <c r="K822" i="16"/>
  <c r="K825" i="16"/>
  <c r="K828" i="16"/>
  <c r="K592" i="16"/>
  <c r="K673" i="16"/>
  <c r="O282" i="16"/>
  <c r="K369" i="16"/>
  <c r="L392" i="16"/>
  <c r="O392" i="16" s="1"/>
  <c r="M408" i="16"/>
  <c r="P408" i="16" s="1"/>
  <c r="L429" i="16"/>
  <c r="O429" i="16" s="1"/>
  <c r="K465" i="16"/>
  <c r="K669" i="16"/>
  <c r="O58" i="16"/>
  <c r="M187" i="16"/>
  <c r="P187" i="16" s="1"/>
  <c r="K593" i="16"/>
  <c r="I785" i="16"/>
  <c r="K785" i="16" s="1"/>
  <c r="K800" i="16"/>
  <c r="O56" i="15"/>
  <c r="I87" i="15"/>
  <c r="K87" i="15" s="1"/>
  <c r="I112" i="15"/>
  <c r="K112" i="15" s="1"/>
  <c r="O549" i="15"/>
  <c r="P15" i="16"/>
  <c r="P29" i="16"/>
  <c r="M321" i="16"/>
  <c r="P321" i="16" s="1"/>
  <c r="P323" i="16"/>
  <c r="M317" i="16"/>
  <c r="P317" i="16" s="1"/>
  <c r="M26" i="16"/>
  <c r="M24" i="16" s="1"/>
  <c r="L125" i="12"/>
  <c r="O125" i="12" s="1"/>
  <c r="M43" i="13"/>
  <c r="M41" i="13" s="1"/>
  <c r="K729" i="13"/>
  <c r="M122" i="15"/>
  <c r="P122" i="15" s="1"/>
  <c r="L125" i="15"/>
  <c r="O125" i="15" s="1"/>
  <c r="M263" i="15"/>
  <c r="M261" i="15" s="1"/>
  <c r="P285" i="15"/>
  <c r="K379" i="15"/>
  <c r="L404" i="15"/>
  <c r="O404" i="15" s="1"/>
  <c r="K462" i="15"/>
  <c r="L546" i="15"/>
  <c r="L544" i="15" s="1"/>
  <c r="O544" i="15" s="1"/>
  <c r="L639" i="15"/>
  <c r="O639" i="15" s="1"/>
  <c r="P22" i="16"/>
  <c r="M19" i="16"/>
  <c r="M12" i="16"/>
  <c r="K100" i="16"/>
  <c r="O166" i="16"/>
  <c r="L167" i="16"/>
  <c r="O186" i="16"/>
  <c r="L183" i="16"/>
  <c r="L181" i="16" s="1"/>
  <c r="M121" i="15"/>
  <c r="O137" i="16"/>
  <c r="L134" i="16"/>
  <c r="L135" i="16"/>
  <c r="O135" i="16" s="1"/>
  <c r="L171" i="16"/>
  <c r="O171" i="16" s="1"/>
  <c r="O264" i="16"/>
  <c r="O58" i="12"/>
  <c r="O58" i="14"/>
  <c r="K362" i="14"/>
  <c r="M47" i="15"/>
  <c r="P47" i="15" s="1"/>
  <c r="K100" i="15"/>
  <c r="J143" i="15"/>
  <c r="J131" i="15" s="1"/>
  <c r="I260" i="15"/>
  <c r="K260" i="15" s="1"/>
  <c r="L263" i="15"/>
  <c r="L261" i="15" s="1"/>
  <c r="I297" i="15"/>
  <c r="K297" i="15" s="1"/>
  <c r="O320" i="15"/>
  <c r="L330" i="15"/>
  <c r="L328" i="15" s="1"/>
  <c r="P353" i="15"/>
  <c r="K362" i="15"/>
  <c r="K385" i="15"/>
  <c r="M405" i="15"/>
  <c r="P405" i="15" s="1"/>
  <c r="I522" i="15"/>
  <c r="K522" i="15" s="1"/>
  <c r="K821" i="15"/>
  <c r="K824" i="15"/>
  <c r="K827" i="15"/>
  <c r="N30" i="16"/>
  <c r="N28" i="16" s="1"/>
  <c r="P35" i="16"/>
  <c r="M34" i="16"/>
  <c r="P34" i="16" s="1"/>
  <c r="L44" i="16"/>
  <c r="O44" i="16" s="1"/>
  <c r="L23" i="16"/>
  <c r="O46" i="16"/>
  <c r="L47" i="16"/>
  <c r="O47" i="16" s="1"/>
  <c r="O49" i="16"/>
  <c r="L26" i="16"/>
  <c r="L24" i="16" s="1"/>
  <c r="M23" i="16"/>
  <c r="P71" i="16"/>
  <c r="M68" i="16"/>
  <c r="P68" i="16" s="1"/>
  <c r="O306" i="16"/>
  <c r="L300" i="16"/>
  <c r="L304" i="16"/>
  <c r="O304" i="16" s="1"/>
  <c r="N395" i="16"/>
  <c r="N391" i="16"/>
  <c r="N389" i="16" s="1"/>
  <c r="L408" i="16"/>
  <c r="O408" i="16" s="1"/>
  <c r="O410" i="16"/>
  <c r="L395" i="14"/>
  <c r="O395" i="14" s="1"/>
  <c r="K824" i="14"/>
  <c r="K827" i="14"/>
  <c r="O58" i="15"/>
  <c r="L135" i="15"/>
  <c r="O135" i="15" s="1"/>
  <c r="L217" i="15"/>
  <c r="O217" i="15" s="1"/>
  <c r="K340" i="15"/>
  <c r="K369" i="15"/>
  <c r="K372" i="15"/>
  <c r="L36" i="15"/>
  <c r="O36" i="15" s="1"/>
  <c r="I86" i="16"/>
  <c r="K86" i="16" s="1"/>
  <c r="K98" i="16"/>
  <c r="M279" i="16"/>
  <c r="P282" i="16"/>
  <c r="L429" i="13"/>
  <c r="O429" i="13" s="1"/>
  <c r="I237" i="13"/>
  <c r="K237" i="13" s="1"/>
  <c r="P56" i="15"/>
  <c r="J364" i="15"/>
  <c r="M122" i="16"/>
  <c r="P122" i="16" s="1"/>
  <c r="P124" i="16"/>
  <c r="M121" i="16"/>
  <c r="K146" i="16"/>
  <c r="I130" i="16"/>
  <c r="K130" i="16" s="1"/>
  <c r="N47" i="16"/>
  <c r="N59" i="16"/>
  <c r="P59" i="16" s="1"/>
  <c r="L68" i="16"/>
  <c r="O68" i="16" s="1"/>
  <c r="M90" i="16"/>
  <c r="I148" i="16"/>
  <c r="K148" i="16" s="1"/>
  <c r="N151" i="16"/>
  <c r="L279" i="16"/>
  <c r="P346" i="16"/>
  <c r="N348" i="16"/>
  <c r="O348" i="16" s="1"/>
  <c r="N347" i="16"/>
  <c r="N345" i="16" s="1"/>
  <c r="O353" i="16"/>
  <c r="K374" i="16"/>
  <c r="I364" i="16"/>
  <c r="P755" i="16"/>
  <c r="M754" i="16"/>
  <c r="P754" i="16" s="1"/>
  <c r="N788" i="16"/>
  <c r="N786" i="16" s="1"/>
  <c r="N789" i="16"/>
  <c r="O806" i="16"/>
  <c r="L805" i="16"/>
  <c r="O805" i="16" s="1"/>
  <c r="L12" i="16"/>
  <c r="L19" i="16"/>
  <c r="O89" i="16"/>
  <c r="P133" i="16"/>
  <c r="M155" i="16"/>
  <c r="P155" i="16" s="1"/>
  <c r="P157" i="16"/>
  <c r="K204" i="16"/>
  <c r="I197" i="16"/>
  <c r="K197" i="16" s="1"/>
  <c r="M267" i="16"/>
  <c r="P267" i="16" s="1"/>
  <c r="P269" i="16"/>
  <c r="N525" i="16"/>
  <c r="N523" i="16" s="1"/>
  <c r="N526" i="16"/>
  <c r="P686" i="16"/>
  <c r="O787" i="16"/>
  <c r="M55" i="16"/>
  <c r="L72" i="16"/>
  <c r="O72" i="16" s="1"/>
  <c r="N121" i="16"/>
  <c r="N119" i="16" s="1"/>
  <c r="M183" i="16"/>
  <c r="K215" i="16"/>
  <c r="O316" i="16"/>
  <c r="P630" i="16"/>
  <c r="N55" i="16"/>
  <c r="P61" i="16"/>
  <c r="M125" i="16"/>
  <c r="P125" i="16" s="1"/>
  <c r="P127" i="16"/>
  <c r="L138" i="16"/>
  <c r="O138" i="16" s="1"/>
  <c r="M152" i="16"/>
  <c r="P152" i="16" s="1"/>
  <c r="P154" i="16"/>
  <c r="O182" i="16"/>
  <c r="L209" i="16"/>
  <c r="O209" i="16" s="1"/>
  <c r="I216" i="16"/>
  <c r="K216" i="16" s="1"/>
  <c r="L217" i="16"/>
  <c r="O217" i="16" s="1"/>
  <c r="P262" i="16"/>
  <c r="M264" i="16"/>
  <c r="P264" i="16" s="1"/>
  <c r="P266" i="16"/>
  <c r="J288" i="16"/>
  <c r="J275" i="16" s="1"/>
  <c r="K275" i="16" s="1"/>
  <c r="P329" i="16"/>
  <c r="N331" i="16"/>
  <c r="N330" i="16"/>
  <c r="O350" i="16"/>
  <c r="P320" i="16"/>
  <c r="K340" i="16"/>
  <c r="P350" i="16"/>
  <c r="K385" i="16"/>
  <c r="L547" i="16"/>
  <c r="O547" i="16" s="1"/>
  <c r="M549" i="16"/>
  <c r="P771" i="16"/>
  <c r="M770" i="16"/>
  <c r="P770" i="16" s="1"/>
  <c r="M786" i="16"/>
  <c r="P786" i="16" s="1"/>
  <c r="M805" i="16"/>
  <c r="P805" i="16" s="1"/>
  <c r="M472" i="16"/>
  <c r="L470" i="16"/>
  <c r="O470" i="16" s="1"/>
  <c r="N770" i="16"/>
  <c r="K365" i="16"/>
  <c r="N421" i="16"/>
  <c r="N419" i="16" s="1"/>
  <c r="O424" i="16"/>
  <c r="M444" i="16"/>
  <c r="P444" i="16" s="1"/>
  <c r="O549" i="16"/>
  <c r="L555" i="16"/>
  <c r="O555" i="16" s="1"/>
  <c r="O557" i="16"/>
  <c r="P738" i="16"/>
  <c r="M737" i="16"/>
  <c r="P737" i="16" s="1"/>
  <c r="P333" i="16"/>
  <c r="L404" i="16"/>
  <c r="O404" i="16" s="1"/>
  <c r="K440" i="16"/>
  <c r="I434" i="16"/>
  <c r="O472" i="16"/>
  <c r="O479" i="16"/>
  <c r="L477" i="16"/>
  <c r="O477" i="16" s="1"/>
  <c r="O634" i="16"/>
  <c r="M424" i="16"/>
  <c r="L446" i="16"/>
  <c r="O446" i="16" s="1"/>
  <c r="L525" i="16"/>
  <c r="O525" i="16" s="1"/>
  <c r="K538" i="16"/>
  <c r="J433" i="16"/>
  <c r="N688" i="16"/>
  <c r="L447" i="13"/>
  <c r="O447" i="13" s="1"/>
  <c r="I275" i="14"/>
  <c r="K275" i="14" s="1"/>
  <c r="L330" i="14"/>
  <c r="L328" i="14" s="1"/>
  <c r="M59" i="15"/>
  <c r="P59" i="15" s="1"/>
  <c r="M135" i="15"/>
  <c r="P135" i="15" s="1"/>
  <c r="L155" i="15"/>
  <c r="O155" i="15" s="1"/>
  <c r="M267" i="15"/>
  <c r="P267" i="15" s="1"/>
  <c r="M300" i="15"/>
  <c r="M298" i="15" s="1"/>
  <c r="M304" i="15"/>
  <c r="P304" i="15" s="1"/>
  <c r="N318" i="15"/>
  <c r="N404" i="15"/>
  <c r="N402" i="15" s="1"/>
  <c r="O431" i="15"/>
  <c r="N55" i="12"/>
  <c r="N53" i="12" s="1"/>
  <c r="M69" i="15"/>
  <c r="P69" i="15" s="1"/>
  <c r="I77" i="15"/>
  <c r="K77" i="15" s="1"/>
  <c r="P269" i="15"/>
  <c r="P323" i="15"/>
  <c r="O660" i="15"/>
  <c r="L429" i="15"/>
  <c r="O429" i="15" s="1"/>
  <c r="O690" i="14"/>
  <c r="L121" i="15"/>
  <c r="K145" i="15"/>
  <c r="P186" i="15"/>
  <c r="I233" i="15"/>
  <c r="K233" i="15" s="1"/>
  <c r="L231" i="15"/>
  <c r="P282" i="15"/>
  <c r="M347" i="15"/>
  <c r="M345" i="15" s="1"/>
  <c r="L392" i="15"/>
  <c r="O392" i="15" s="1"/>
  <c r="O407" i="15"/>
  <c r="K649" i="15"/>
  <c r="K594" i="14"/>
  <c r="L55" i="15"/>
  <c r="L53" i="15" s="1"/>
  <c r="N279" i="15"/>
  <c r="N277" i="15" s="1"/>
  <c r="L657" i="15"/>
  <c r="O657" i="15" s="1"/>
  <c r="M121" i="14"/>
  <c r="P121" i="14" s="1"/>
  <c r="P266" i="14"/>
  <c r="K78" i="15"/>
  <c r="M134" i="15"/>
  <c r="P134" i="15" s="1"/>
  <c r="L152" i="15"/>
  <c r="O152" i="15" s="1"/>
  <c r="K365" i="15"/>
  <c r="K381" i="15"/>
  <c r="K647" i="15"/>
  <c r="K143" i="15"/>
  <c r="I131" i="15"/>
  <c r="K131" i="15" s="1"/>
  <c r="L429" i="14"/>
  <c r="O429" i="14" s="1"/>
  <c r="O353" i="15"/>
  <c r="L351" i="15"/>
  <c r="O351" i="15" s="1"/>
  <c r="L43" i="12"/>
  <c r="L41" i="12" s="1"/>
  <c r="K823" i="12"/>
  <c r="K826" i="12"/>
  <c r="L121" i="14"/>
  <c r="O121" i="14" s="1"/>
  <c r="N184" i="14"/>
  <c r="P184" i="14" s="1"/>
  <c r="L347" i="14"/>
  <c r="M44" i="15"/>
  <c r="P44" i="15" s="1"/>
  <c r="M68" i="15"/>
  <c r="P68" i="15" s="1"/>
  <c r="P93" i="15"/>
  <c r="M90" i="15"/>
  <c r="M88" i="15" s="1"/>
  <c r="N134" i="15"/>
  <c r="N132" i="15" s="1"/>
  <c r="N168" i="15"/>
  <c r="P168" i="15" s="1"/>
  <c r="M171" i="15"/>
  <c r="P171" i="15" s="1"/>
  <c r="K255" i="15"/>
  <c r="L280" i="15"/>
  <c r="O280" i="15" s="1"/>
  <c r="O285" i="15"/>
  <c r="O306" i="15"/>
  <c r="O323" i="15"/>
  <c r="P331" i="15"/>
  <c r="L334" i="15"/>
  <c r="O334" i="15" s="1"/>
  <c r="O350" i="15"/>
  <c r="L348" i="15"/>
  <c r="O348" i="15" s="1"/>
  <c r="I434" i="15"/>
  <c r="K434" i="15" s="1"/>
  <c r="K438" i="15"/>
  <c r="K539" i="15"/>
  <c r="J537" i="15"/>
  <c r="J522" i="15" s="1"/>
  <c r="O634" i="15"/>
  <c r="L632" i="15"/>
  <c r="O632" i="15" s="1"/>
  <c r="M634" i="15"/>
  <c r="M631" i="15" s="1"/>
  <c r="P631" i="15" s="1"/>
  <c r="M187" i="14"/>
  <c r="P187" i="14" s="1"/>
  <c r="L279" i="14"/>
  <c r="O279" i="14" s="1"/>
  <c r="M23" i="15"/>
  <c r="M21" i="15" s="1"/>
  <c r="N68" i="15"/>
  <c r="N66" i="15" s="1"/>
  <c r="P91" i="15"/>
  <c r="N263" i="15"/>
  <c r="L279" i="15"/>
  <c r="O279" i="15" s="1"/>
  <c r="L300" i="15"/>
  <c r="L298" i="15" s="1"/>
  <c r="I314" i="15"/>
  <c r="K314" i="15" s="1"/>
  <c r="L318" i="15"/>
  <c r="O318" i="15" s="1"/>
  <c r="L347" i="15"/>
  <c r="P350" i="15"/>
  <c r="K359" i="15"/>
  <c r="L454" i="15"/>
  <c r="O454" i="15" s="1"/>
  <c r="O456" i="15"/>
  <c r="L470" i="15"/>
  <c r="O470" i="15" s="1"/>
  <c r="L477" i="15"/>
  <c r="O477" i="15" s="1"/>
  <c r="O535" i="15"/>
  <c r="L631" i="15"/>
  <c r="O631" i="15" s="1"/>
  <c r="J721" i="15"/>
  <c r="K176" i="14"/>
  <c r="L33" i="15"/>
  <c r="O397" i="15"/>
  <c r="L395" i="15"/>
  <c r="O395" i="15" s="1"/>
  <c r="M56" i="13"/>
  <c r="P56" i="13" s="1"/>
  <c r="M59" i="13"/>
  <c r="P59" i="13" s="1"/>
  <c r="N263" i="13"/>
  <c r="O186" i="14"/>
  <c r="L217" i="14"/>
  <c r="O217" i="14" s="1"/>
  <c r="K537" i="14"/>
  <c r="M55" i="15"/>
  <c r="M53" i="15" s="1"/>
  <c r="L72" i="15"/>
  <c r="O72" i="15" s="1"/>
  <c r="K86" i="15"/>
  <c r="M138" i="15"/>
  <c r="P138" i="15" s="1"/>
  <c r="L198" i="15"/>
  <c r="O198" i="15" s="1"/>
  <c r="K215" i="15"/>
  <c r="I276" i="15"/>
  <c r="K276" i="15" s="1"/>
  <c r="N300" i="15"/>
  <c r="N298" i="15" s="1"/>
  <c r="O333" i="15"/>
  <c r="N347" i="15"/>
  <c r="L421" i="15"/>
  <c r="L419" i="15" s="1"/>
  <c r="O419" i="15" s="1"/>
  <c r="M424" i="15"/>
  <c r="M422" i="15" s="1"/>
  <c r="K369" i="12"/>
  <c r="M44" i="13"/>
  <c r="L184" i="14"/>
  <c r="P186" i="14"/>
  <c r="M280" i="14"/>
  <c r="P280" i="14" s="1"/>
  <c r="O353" i="14"/>
  <c r="K378" i="14"/>
  <c r="M391" i="14"/>
  <c r="P391" i="14" s="1"/>
  <c r="P394" i="14"/>
  <c r="M43" i="15"/>
  <c r="N55" i="15"/>
  <c r="M72" i="15"/>
  <c r="P72" i="15" s="1"/>
  <c r="L151" i="15"/>
  <c r="P170" i="15"/>
  <c r="M184" i="15"/>
  <c r="P184" i="15" s="1"/>
  <c r="I216" i="15"/>
  <c r="K216" i="15" s="1"/>
  <c r="L230" i="15"/>
  <c r="O269" i="15"/>
  <c r="K288" i="15"/>
  <c r="O303" i="15"/>
  <c r="N330" i="15"/>
  <c r="N328" i="15" s="1"/>
  <c r="P333" i="15"/>
  <c r="P336" i="15"/>
  <c r="M334" i="15"/>
  <c r="P334" i="15" s="1"/>
  <c r="J327" i="15"/>
  <c r="K327" i="15" s="1"/>
  <c r="I364" i="15"/>
  <c r="O410" i="15"/>
  <c r="O424" i="15"/>
  <c r="K355" i="15"/>
  <c r="K360" i="15"/>
  <c r="K370" i="15"/>
  <c r="M449" i="15"/>
  <c r="L525" i="15"/>
  <c r="O525" i="15" s="1"/>
  <c r="M549" i="15"/>
  <c r="M547" i="15" s="1"/>
  <c r="P547" i="15" s="1"/>
  <c r="K674" i="15"/>
  <c r="L789" i="15"/>
  <c r="O789" i="15" s="1"/>
  <c r="K822" i="15"/>
  <c r="K828" i="15"/>
  <c r="K338" i="15"/>
  <c r="K374" i="15"/>
  <c r="M404" i="15"/>
  <c r="K628" i="15"/>
  <c r="K823" i="15"/>
  <c r="P15" i="15"/>
  <c r="M9" i="15"/>
  <c r="O22" i="15"/>
  <c r="L19" i="15"/>
  <c r="L23" i="15"/>
  <c r="L21" i="15" s="1"/>
  <c r="O46" i="15"/>
  <c r="L228" i="15"/>
  <c r="L249" i="15"/>
  <c r="O249" i="15" s="1"/>
  <c r="L230" i="13"/>
  <c r="M391" i="13"/>
  <c r="P391" i="13" s="1"/>
  <c r="O472" i="13"/>
  <c r="O528" i="14"/>
  <c r="K669" i="14"/>
  <c r="P22" i="15"/>
  <c r="M19" i="15"/>
  <c r="L44" i="15"/>
  <c r="O44" i="15" s="1"/>
  <c r="L68" i="15"/>
  <c r="L91" i="15"/>
  <c r="O91" i="15" s="1"/>
  <c r="O93" i="15"/>
  <c r="K98" i="15"/>
  <c r="N121" i="15"/>
  <c r="N119" i="15" s="1"/>
  <c r="N151" i="15"/>
  <c r="N149" i="15" s="1"/>
  <c r="M183" i="15"/>
  <c r="L184" i="15"/>
  <c r="O184" i="15" s="1"/>
  <c r="O186" i="15"/>
  <c r="P738" i="15"/>
  <c r="M737" i="15"/>
  <c r="P737" i="15" s="1"/>
  <c r="O449" i="14"/>
  <c r="L525" i="14"/>
  <c r="L523" i="14" s="1"/>
  <c r="O523" i="14" s="1"/>
  <c r="L12" i="15"/>
  <c r="O49" i="15"/>
  <c r="L26" i="15"/>
  <c r="N59" i="15"/>
  <c r="N26" i="15"/>
  <c r="L94" i="15"/>
  <c r="O94" i="15" s="1"/>
  <c r="O96" i="15"/>
  <c r="L138" i="15"/>
  <c r="O138" i="15" s="1"/>
  <c r="K174" i="15"/>
  <c r="L187" i="15"/>
  <c r="O187" i="15" s="1"/>
  <c r="O189" i="15"/>
  <c r="K248" i="15"/>
  <c r="O686" i="15"/>
  <c r="N300" i="13"/>
  <c r="N298" i="13" s="1"/>
  <c r="L198" i="14"/>
  <c r="O198" i="14" s="1"/>
  <c r="P29" i="15"/>
  <c r="P35" i="15"/>
  <c r="M34" i="15"/>
  <c r="P34" i="15" s="1"/>
  <c r="O89" i="15"/>
  <c r="P96" i="15"/>
  <c r="M26" i="15"/>
  <c r="L134" i="15"/>
  <c r="I130" i="15"/>
  <c r="K130" i="15" s="1"/>
  <c r="K146" i="15"/>
  <c r="M167" i="15"/>
  <c r="L168" i="15"/>
  <c r="O170" i="15"/>
  <c r="O182" i="15"/>
  <c r="K204" i="15"/>
  <c r="I197" i="15"/>
  <c r="K197" i="15" s="1"/>
  <c r="N264" i="15"/>
  <c r="P264" i="15" s="1"/>
  <c r="P266" i="15"/>
  <c r="P329" i="15"/>
  <c r="O630" i="15"/>
  <c r="I297" i="13"/>
  <c r="K297" i="13" s="1"/>
  <c r="K723" i="13"/>
  <c r="N23" i="15"/>
  <c r="N21" i="15" s="1"/>
  <c r="N28" i="15"/>
  <c r="N34" i="15"/>
  <c r="L43" i="15"/>
  <c r="L69" i="15"/>
  <c r="O69" i="15" s="1"/>
  <c r="K81" i="15"/>
  <c r="M94" i="15"/>
  <c r="P94" i="15" s="1"/>
  <c r="L171" i="15"/>
  <c r="O171" i="15" s="1"/>
  <c r="O173" i="15"/>
  <c r="M187" i="15"/>
  <c r="P187" i="15" s="1"/>
  <c r="L238" i="15"/>
  <c r="O266" i="15"/>
  <c r="N301" i="15"/>
  <c r="P303" i="15"/>
  <c r="M318" i="15"/>
  <c r="P318" i="15" s="1"/>
  <c r="P320" i="15"/>
  <c r="M317" i="15"/>
  <c r="P317" i="15" s="1"/>
  <c r="M469" i="15"/>
  <c r="P469" i="15" s="1"/>
  <c r="M470" i="15"/>
  <c r="P470" i="15" s="1"/>
  <c r="P472" i="15"/>
  <c r="P504" i="15"/>
  <c r="M502" i="15"/>
  <c r="P502" i="15" s="1"/>
  <c r="L134" i="14"/>
  <c r="O134" i="14" s="1"/>
  <c r="M321" i="14"/>
  <c r="P321" i="14" s="1"/>
  <c r="L331" i="14"/>
  <c r="L334" i="14"/>
  <c r="O334" i="14" s="1"/>
  <c r="N348" i="14"/>
  <c r="P348" i="14" s="1"/>
  <c r="K725" i="14"/>
  <c r="K822" i="14"/>
  <c r="K825" i="14"/>
  <c r="K828" i="14"/>
  <c r="O166" i="15"/>
  <c r="L209" i="15"/>
  <c r="O209" i="15" s="1"/>
  <c r="P58" i="15"/>
  <c r="P127" i="15"/>
  <c r="O503" i="15"/>
  <c r="L502" i="15"/>
  <c r="O502" i="15" s="1"/>
  <c r="O547" i="15"/>
  <c r="P755" i="15"/>
  <c r="M754" i="15"/>
  <c r="P754" i="15" s="1"/>
  <c r="I785" i="15"/>
  <c r="K785" i="15" s="1"/>
  <c r="K800" i="15"/>
  <c r="O806" i="15"/>
  <c r="L805" i="15"/>
  <c r="O805" i="15" s="1"/>
  <c r="K176" i="15"/>
  <c r="I237" i="15"/>
  <c r="M805" i="15"/>
  <c r="P805" i="15" s="1"/>
  <c r="P316" i="15"/>
  <c r="P468" i="15"/>
  <c r="I592" i="15"/>
  <c r="K592" i="15" s="1"/>
  <c r="K593" i="15"/>
  <c r="P687" i="15"/>
  <c r="M685" i="15"/>
  <c r="P685" i="15" s="1"/>
  <c r="P771" i="15"/>
  <c r="M770" i="15"/>
  <c r="P770" i="15" s="1"/>
  <c r="O787" i="15"/>
  <c r="I275" i="15"/>
  <c r="K275" i="15" s="1"/>
  <c r="I442" i="15"/>
  <c r="K442" i="15" s="1"/>
  <c r="K460" i="15"/>
  <c r="K594" i="15"/>
  <c r="M786" i="15"/>
  <c r="P786" i="15" s="1"/>
  <c r="M348" i="15"/>
  <c r="P348" i="15" s="1"/>
  <c r="M351" i="15"/>
  <c r="P351" i="15" s="1"/>
  <c r="M392" i="15"/>
  <c r="P392" i="15" s="1"/>
  <c r="M395" i="15"/>
  <c r="P395" i="15" s="1"/>
  <c r="O403" i="15"/>
  <c r="P445" i="15"/>
  <c r="L447" i="15"/>
  <c r="O447" i="15" s="1"/>
  <c r="O472" i="15"/>
  <c r="O524" i="15"/>
  <c r="I654" i="15"/>
  <c r="K654" i="15" s="1"/>
  <c r="P656" i="15"/>
  <c r="N422" i="15"/>
  <c r="O422" i="15" s="1"/>
  <c r="L526" i="15"/>
  <c r="O526" i="15" s="1"/>
  <c r="N547" i="15"/>
  <c r="K675" i="15"/>
  <c r="K651" i="15"/>
  <c r="K672" i="15"/>
  <c r="L688" i="15"/>
  <c r="O688" i="15" s="1"/>
  <c r="J433" i="15"/>
  <c r="K669" i="15"/>
  <c r="L687" i="15"/>
  <c r="O687" i="15" s="1"/>
  <c r="O173" i="14"/>
  <c r="L171" i="14"/>
  <c r="O171" i="14" s="1"/>
  <c r="L167" i="14"/>
  <c r="L165" i="14" s="1"/>
  <c r="P74" i="14"/>
  <c r="M72" i="14"/>
  <c r="P72" i="14" s="1"/>
  <c r="O424" i="14"/>
  <c r="L33" i="14"/>
  <c r="L31" i="14" s="1"/>
  <c r="L422" i="14"/>
  <c r="O422" i="14" s="1"/>
  <c r="L152" i="14"/>
  <c r="O152" i="14" s="1"/>
  <c r="L151" i="14"/>
  <c r="L149" i="14" s="1"/>
  <c r="L230" i="14"/>
  <c r="O394" i="14"/>
  <c r="L392" i="14"/>
  <c r="O392" i="14" s="1"/>
  <c r="L391" i="14"/>
  <c r="O456" i="14"/>
  <c r="L446" i="14"/>
  <c r="L36" i="14"/>
  <c r="O36" i="14" s="1"/>
  <c r="N134" i="14"/>
  <c r="N132" i="14" s="1"/>
  <c r="M168" i="14"/>
  <c r="N167" i="14"/>
  <c r="N165" i="14" s="1"/>
  <c r="O170" i="14"/>
  <c r="P285" i="14"/>
  <c r="M283" i="14"/>
  <c r="P283" i="14" s="1"/>
  <c r="O323" i="14"/>
  <c r="L321" i="14"/>
  <c r="O321" i="14" s="1"/>
  <c r="K700" i="13"/>
  <c r="N168" i="14"/>
  <c r="O168" i="14" s="1"/>
  <c r="L183" i="14"/>
  <c r="O189" i="14"/>
  <c r="M279" i="14"/>
  <c r="P279" i="14" s="1"/>
  <c r="K309" i="14"/>
  <c r="I297" i="14"/>
  <c r="K297" i="14" s="1"/>
  <c r="P320" i="14"/>
  <c r="M318" i="14"/>
  <c r="P318" i="14" s="1"/>
  <c r="K700" i="14"/>
  <c r="J722" i="14"/>
  <c r="K722" i="14" s="1"/>
  <c r="M424" i="14"/>
  <c r="M421" i="14" s="1"/>
  <c r="I433" i="14"/>
  <c r="J433" i="14"/>
  <c r="J417" i="14" s="1"/>
  <c r="K435" i="14"/>
  <c r="M23" i="14"/>
  <c r="M21" i="14" s="1"/>
  <c r="M68" i="14"/>
  <c r="P68" i="14" s="1"/>
  <c r="M151" i="14"/>
  <c r="M149" i="14" s="1"/>
  <c r="O303" i="14"/>
  <c r="L301" i="14"/>
  <c r="O301" i="14" s="1"/>
  <c r="L421" i="14"/>
  <c r="L419" i="14" s="1"/>
  <c r="O419" i="14" s="1"/>
  <c r="L477" i="14"/>
  <c r="O477" i="14" s="1"/>
  <c r="O479" i="14"/>
  <c r="K674" i="14"/>
  <c r="K672" i="14"/>
  <c r="I654" i="14"/>
  <c r="K654" i="14" s="1"/>
  <c r="P353" i="11"/>
  <c r="L330" i="13"/>
  <c r="O59" i="14"/>
  <c r="O93" i="14"/>
  <c r="I112" i="14"/>
  <c r="K112" i="14" s="1"/>
  <c r="L231" i="14"/>
  <c r="K340" i="14"/>
  <c r="L404" i="14"/>
  <c r="O404" i="14" s="1"/>
  <c r="K823" i="14"/>
  <c r="K826" i="14"/>
  <c r="J433" i="13"/>
  <c r="J417" i="13" s="1"/>
  <c r="N44" i="14"/>
  <c r="O44" i="14" s="1"/>
  <c r="L47" i="14"/>
  <c r="O47" i="14" s="1"/>
  <c r="M43" i="14"/>
  <c r="L94" i="14"/>
  <c r="O94" i="14" s="1"/>
  <c r="K116" i="14"/>
  <c r="M47" i="14"/>
  <c r="P47" i="14" s="1"/>
  <c r="M94" i="14"/>
  <c r="P94" i="14" s="1"/>
  <c r="M171" i="14"/>
  <c r="P171" i="14" s="1"/>
  <c r="M263" i="14"/>
  <c r="M261" i="14" s="1"/>
  <c r="K288" i="14"/>
  <c r="I434" i="14"/>
  <c r="K434" i="14" s="1"/>
  <c r="L395" i="13"/>
  <c r="O395" i="13" s="1"/>
  <c r="I77" i="14"/>
  <c r="K77" i="14" s="1"/>
  <c r="K338" i="14"/>
  <c r="K372" i="14"/>
  <c r="K385" i="14"/>
  <c r="K460" i="14"/>
  <c r="K728" i="14"/>
  <c r="P140" i="14"/>
  <c r="M138" i="14"/>
  <c r="P138" i="14" s="1"/>
  <c r="N283" i="14"/>
  <c r="N279" i="14"/>
  <c r="N277" i="14" s="1"/>
  <c r="N264" i="13"/>
  <c r="O264" i="13" s="1"/>
  <c r="M134" i="13"/>
  <c r="P134" i="13" s="1"/>
  <c r="L231" i="13"/>
  <c r="I276" i="13"/>
  <c r="K276" i="13" s="1"/>
  <c r="N404" i="13"/>
  <c r="N402" i="13" s="1"/>
  <c r="L408" i="13"/>
  <c r="O408" i="13" s="1"/>
  <c r="L55" i="14"/>
  <c r="L53" i="14" s="1"/>
  <c r="P56" i="14"/>
  <c r="M69" i="14"/>
  <c r="P69" i="14" s="1"/>
  <c r="P71" i="14"/>
  <c r="I87" i="14"/>
  <c r="K87" i="14" s="1"/>
  <c r="N90" i="14"/>
  <c r="N88" i="14" s="1"/>
  <c r="L90" i="14"/>
  <c r="L122" i="14"/>
  <c r="O122" i="14" s="1"/>
  <c r="I143" i="14"/>
  <c r="K143" i="14" s="1"/>
  <c r="O157" i="14"/>
  <c r="L155" i="14"/>
  <c r="O155" i="14" s="1"/>
  <c r="M183" i="14"/>
  <c r="K287" i="14"/>
  <c r="O350" i="14"/>
  <c r="M395" i="14"/>
  <c r="P395" i="14" s="1"/>
  <c r="P397" i="14"/>
  <c r="L470" i="14"/>
  <c r="L469" i="14"/>
  <c r="L467" i="14" s="1"/>
  <c r="L43" i="14"/>
  <c r="L41" i="14" s="1"/>
  <c r="K111" i="14"/>
  <c r="M283" i="12"/>
  <c r="P283" i="12" s="1"/>
  <c r="O333" i="12"/>
  <c r="L94" i="13"/>
  <c r="O94" i="13" s="1"/>
  <c r="M135" i="13"/>
  <c r="P135" i="13" s="1"/>
  <c r="M138" i="13"/>
  <c r="P138" i="13" s="1"/>
  <c r="O154" i="13"/>
  <c r="M187" i="13"/>
  <c r="P187" i="13" s="1"/>
  <c r="L334" i="13"/>
  <c r="O334" i="13" s="1"/>
  <c r="K594" i="13"/>
  <c r="K827" i="13"/>
  <c r="L56" i="14"/>
  <c r="O56" i="14" s="1"/>
  <c r="L72" i="14"/>
  <c r="O72" i="14" s="1"/>
  <c r="L91" i="14"/>
  <c r="P93" i="14"/>
  <c r="L125" i="14"/>
  <c r="O125" i="14" s="1"/>
  <c r="K193" i="14"/>
  <c r="I190" i="14"/>
  <c r="K190" i="14" s="1"/>
  <c r="L304" i="14"/>
  <c r="O304" i="14" s="1"/>
  <c r="L300" i="14"/>
  <c r="O300" i="14" s="1"/>
  <c r="N318" i="14"/>
  <c r="N317" i="14"/>
  <c r="N315" i="14" s="1"/>
  <c r="K360" i="14"/>
  <c r="I443" i="14"/>
  <c r="K443" i="14" s="1"/>
  <c r="M472" i="14"/>
  <c r="M469" i="14" s="1"/>
  <c r="P469" i="14" s="1"/>
  <c r="K726" i="14"/>
  <c r="P301" i="13"/>
  <c r="N263" i="14"/>
  <c r="O266" i="14"/>
  <c r="N264" i="14"/>
  <c r="O264" i="14" s="1"/>
  <c r="O127" i="14"/>
  <c r="N300" i="14"/>
  <c r="N298" i="14" s="1"/>
  <c r="N301" i="14"/>
  <c r="P410" i="14"/>
  <c r="M408" i="14"/>
  <c r="P408" i="14" s="1"/>
  <c r="L639" i="14"/>
  <c r="O639" i="14" s="1"/>
  <c r="L631" i="14"/>
  <c r="M134" i="14"/>
  <c r="P134" i="14" s="1"/>
  <c r="P137" i="14"/>
  <c r="L639" i="11"/>
  <c r="O639" i="11" s="1"/>
  <c r="L263" i="13"/>
  <c r="L261" i="13" s="1"/>
  <c r="I364" i="13"/>
  <c r="K364" i="13" s="1"/>
  <c r="P46" i="14"/>
  <c r="N91" i="14"/>
  <c r="P91" i="14" s="1"/>
  <c r="K98" i="14"/>
  <c r="K215" i="14"/>
  <c r="I208" i="14"/>
  <c r="K208" i="14" s="1"/>
  <c r="L267" i="14"/>
  <c r="O267" i="14" s="1"/>
  <c r="L263" i="14"/>
  <c r="P407" i="14"/>
  <c r="M405" i="14"/>
  <c r="P405" i="14" s="1"/>
  <c r="J537" i="14"/>
  <c r="J522" i="14" s="1"/>
  <c r="O641" i="14"/>
  <c r="O687" i="14"/>
  <c r="L685" i="14"/>
  <c r="O685" i="14" s="1"/>
  <c r="L688" i="14"/>
  <c r="O688" i="14" s="1"/>
  <c r="M690" i="14"/>
  <c r="J721" i="14"/>
  <c r="K721" i="14" s="1"/>
  <c r="I216" i="14"/>
  <c r="K216" i="14" s="1"/>
  <c r="K369" i="14"/>
  <c r="K673" i="14"/>
  <c r="L209" i="14"/>
  <c r="O209" i="14" s="1"/>
  <c r="L228" i="14"/>
  <c r="L318" i="14"/>
  <c r="O318" i="14" s="1"/>
  <c r="P333" i="14"/>
  <c r="K370" i="14"/>
  <c r="P170" i="14"/>
  <c r="L238" i="14"/>
  <c r="O238" i="14" s="1"/>
  <c r="L249" i="14"/>
  <c r="O249" i="14" s="1"/>
  <c r="P353" i="14"/>
  <c r="O634" i="14"/>
  <c r="O19" i="14"/>
  <c r="K325" i="12"/>
  <c r="M472" i="12"/>
  <c r="M470" i="12" s="1"/>
  <c r="P470" i="12" s="1"/>
  <c r="M68" i="13"/>
  <c r="M66" i="13" s="1"/>
  <c r="I148" i="13"/>
  <c r="K148" i="13" s="1"/>
  <c r="M347" i="13"/>
  <c r="M345" i="13" s="1"/>
  <c r="M395" i="13"/>
  <c r="P395" i="13" s="1"/>
  <c r="K537" i="13"/>
  <c r="J721" i="13"/>
  <c r="K721" i="13" s="1"/>
  <c r="K826" i="13"/>
  <c r="N12" i="14"/>
  <c r="M15" i="14"/>
  <c r="N23" i="14"/>
  <c r="L26" i="14"/>
  <c r="L24" i="14" s="1"/>
  <c r="O32" i="14"/>
  <c r="O46" i="14"/>
  <c r="N26" i="14"/>
  <c r="N16" i="14" s="1"/>
  <c r="M55" i="14"/>
  <c r="O61" i="14"/>
  <c r="L69" i="14"/>
  <c r="O69" i="14" s="1"/>
  <c r="I76" i="14"/>
  <c r="K81" i="14"/>
  <c r="K86" i="14"/>
  <c r="P124" i="14"/>
  <c r="M122" i="14"/>
  <c r="P122" i="14" s="1"/>
  <c r="O154" i="14"/>
  <c r="I164" i="14"/>
  <c r="K164" i="14" s="1"/>
  <c r="O166" i="14"/>
  <c r="I260" i="14"/>
  <c r="K260" i="14" s="1"/>
  <c r="I314" i="14"/>
  <c r="K314" i="14" s="1"/>
  <c r="K325" i="14"/>
  <c r="M283" i="13"/>
  <c r="P283" i="13" s="1"/>
  <c r="L347" i="13"/>
  <c r="L345" i="13" s="1"/>
  <c r="M404" i="13"/>
  <c r="P404" i="13" s="1"/>
  <c r="K720" i="13"/>
  <c r="O12" i="14"/>
  <c r="N15" i="14"/>
  <c r="N19" i="14"/>
  <c r="P22" i="14"/>
  <c r="M19" i="14"/>
  <c r="M12" i="14"/>
  <c r="M26" i="14"/>
  <c r="M34" i="14"/>
  <c r="P34" i="14" s="1"/>
  <c r="P49" i="14"/>
  <c r="N55" i="14"/>
  <c r="M90" i="14"/>
  <c r="I148" i="14"/>
  <c r="K148" i="14" s="1"/>
  <c r="N151" i="14"/>
  <c r="L280" i="14"/>
  <c r="O280" i="14" s="1"/>
  <c r="O282" i="14"/>
  <c r="M334" i="14"/>
  <c r="P334" i="14" s="1"/>
  <c r="P336" i="14"/>
  <c r="M330" i="14"/>
  <c r="P346" i="14"/>
  <c r="I364" i="14"/>
  <c r="K365" i="14"/>
  <c r="N405" i="14"/>
  <c r="N404" i="14"/>
  <c r="N402" i="14" s="1"/>
  <c r="P686" i="14"/>
  <c r="L29" i="14"/>
  <c r="P58" i="14"/>
  <c r="L68" i="14"/>
  <c r="O89" i="14"/>
  <c r="P133" i="14"/>
  <c r="J143" i="14"/>
  <c r="J131" i="14" s="1"/>
  <c r="P157" i="14"/>
  <c r="M155" i="14"/>
  <c r="P155" i="14" s="1"/>
  <c r="L283" i="14"/>
  <c r="O283" i="14" s="1"/>
  <c r="O285" i="14"/>
  <c r="K381" i="14"/>
  <c r="J288" i="13"/>
  <c r="J275" i="13" s="1"/>
  <c r="P353" i="13"/>
  <c r="N391" i="13"/>
  <c r="N389" i="13" s="1"/>
  <c r="K824" i="13"/>
  <c r="M29" i="14"/>
  <c r="N121" i="14"/>
  <c r="N119" i="14" s="1"/>
  <c r="K374" i="14"/>
  <c r="N392" i="14"/>
  <c r="N391" i="14"/>
  <c r="N389" i="14" s="1"/>
  <c r="J654" i="14"/>
  <c r="O690" i="11"/>
  <c r="L183" i="12"/>
  <c r="L181" i="12" s="1"/>
  <c r="O456" i="12"/>
  <c r="L331" i="13"/>
  <c r="N330" i="13"/>
  <c r="N328" i="13" s="1"/>
  <c r="N351" i="13"/>
  <c r="P351" i="13" s="1"/>
  <c r="O634" i="13"/>
  <c r="L687" i="13"/>
  <c r="L685" i="13" s="1"/>
  <c r="O685" i="13" s="1"/>
  <c r="K822" i="13"/>
  <c r="L9" i="14"/>
  <c r="L23" i="14"/>
  <c r="O25" i="14"/>
  <c r="P61" i="14"/>
  <c r="M59" i="14"/>
  <c r="P59" i="14" s="1"/>
  <c r="N68" i="14"/>
  <c r="N66" i="14" s="1"/>
  <c r="P127" i="14"/>
  <c r="M125" i="14"/>
  <c r="P125" i="14" s="1"/>
  <c r="L138" i="14"/>
  <c r="O138" i="14" s="1"/>
  <c r="P154" i="14"/>
  <c r="M152" i="14"/>
  <c r="P152" i="14" s="1"/>
  <c r="N470" i="14"/>
  <c r="N469" i="14"/>
  <c r="O472" i="14"/>
  <c r="N33" i="14"/>
  <c r="N30" i="14" s="1"/>
  <c r="N28" i="14" s="1"/>
  <c r="O182" i="14"/>
  <c r="M264" i="14"/>
  <c r="M267" i="14"/>
  <c r="P267" i="14" s="1"/>
  <c r="M301" i="14"/>
  <c r="P301" i="14" s="1"/>
  <c r="M304" i="14"/>
  <c r="P304" i="14" s="1"/>
  <c r="O316" i="14"/>
  <c r="N331" i="14"/>
  <c r="P331" i="14" s="1"/>
  <c r="P350" i="14"/>
  <c r="J364" i="14"/>
  <c r="K379" i="14"/>
  <c r="M404" i="14"/>
  <c r="P404" i="14" s="1"/>
  <c r="O407" i="14"/>
  <c r="L547" i="14"/>
  <c r="O547" i="14" s="1"/>
  <c r="O549" i="14"/>
  <c r="M549" i="14"/>
  <c r="L555" i="14"/>
  <c r="O555" i="14" s="1"/>
  <c r="O557" i="14"/>
  <c r="I559" i="14"/>
  <c r="K576" i="14"/>
  <c r="K592" i="14"/>
  <c r="I628" i="14"/>
  <c r="K628" i="14" s="1"/>
  <c r="K651" i="14"/>
  <c r="L658" i="14"/>
  <c r="O658" i="14" s="1"/>
  <c r="O660" i="14"/>
  <c r="M660" i="14"/>
  <c r="P755" i="14"/>
  <c r="M754" i="14"/>
  <c r="P754" i="14" s="1"/>
  <c r="P807" i="14"/>
  <c r="M805" i="14"/>
  <c r="P805" i="14" s="1"/>
  <c r="O546" i="14"/>
  <c r="L544" i="14"/>
  <c r="O657" i="14"/>
  <c r="L655" i="14"/>
  <c r="O655" i="14" s="1"/>
  <c r="I785" i="14"/>
  <c r="K785" i="14" s="1"/>
  <c r="K800" i="14"/>
  <c r="O806" i="14"/>
  <c r="L805" i="14"/>
  <c r="O805" i="14" s="1"/>
  <c r="L229" i="14"/>
  <c r="I233" i="14"/>
  <c r="K233" i="14" s="1"/>
  <c r="I248" i="14"/>
  <c r="L317" i="14"/>
  <c r="O317" i="14" s="1"/>
  <c r="N330" i="14"/>
  <c r="O333" i="14"/>
  <c r="N351" i="14"/>
  <c r="O351" i="14" s="1"/>
  <c r="K465" i="14"/>
  <c r="P555" i="14"/>
  <c r="M545" i="14"/>
  <c r="K723" i="14"/>
  <c r="M317" i="14"/>
  <c r="J327" i="14"/>
  <c r="K327" i="14" s="1"/>
  <c r="P630" i="14"/>
  <c r="M629" i="14"/>
  <c r="P629" i="14" s="1"/>
  <c r="K675" i="14"/>
  <c r="P738" i="14"/>
  <c r="M737" i="14"/>
  <c r="P737" i="14" s="1"/>
  <c r="P771" i="14"/>
  <c r="M770" i="14"/>
  <c r="P770" i="14" s="1"/>
  <c r="P788" i="14"/>
  <c r="M786" i="14"/>
  <c r="P786" i="14" s="1"/>
  <c r="I197" i="14"/>
  <c r="K197" i="14" s="1"/>
  <c r="M347" i="14"/>
  <c r="K359" i="14"/>
  <c r="O410" i="14"/>
  <c r="P503" i="14"/>
  <c r="M502" i="14"/>
  <c r="P502" i="14" s="1"/>
  <c r="O787" i="14"/>
  <c r="L786" i="14"/>
  <c r="O786" i="14" s="1"/>
  <c r="K593" i="14"/>
  <c r="O791" i="14"/>
  <c r="O124" i="13"/>
  <c r="L122" i="13"/>
  <c r="O122" i="13" s="1"/>
  <c r="L121" i="13"/>
  <c r="O121" i="13" s="1"/>
  <c r="L43" i="13"/>
  <c r="L41" i="13" s="1"/>
  <c r="K215" i="13"/>
  <c r="I208" i="13"/>
  <c r="K208" i="13" s="1"/>
  <c r="N334" i="12"/>
  <c r="N330" i="12"/>
  <c r="N328" i="12" s="1"/>
  <c r="I112" i="13"/>
  <c r="K112" i="13" s="1"/>
  <c r="K115" i="13"/>
  <c r="P320" i="13"/>
  <c r="M318" i="13"/>
  <c r="P318" i="13" s="1"/>
  <c r="N183" i="13"/>
  <c r="N181" i="13" s="1"/>
  <c r="N187" i="13"/>
  <c r="M334" i="13"/>
  <c r="P334" i="13" s="1"/>
  <c r="L526" i="13"/>
  <c r="O526" i="13" s="1"/>
  <c r="I433" i="11"/>
  <c r="I417" i="11" s="1"/>
  <c r="J721" i="11"/>
  <c r="N263" i="12"/>
  <c r="N261" i="12" s="1"/>
  <c r="M121" i="13"/>
  <c r="P121" i="13" s="1"/>
  <c r="M167" i="13"/>
  <c r="M165" i="13" s="1"/>
  <c r="I190" i="13"/>
  <c r="K190" i="13" s="1"/>
  <c r="J327" i="13"/>
  <c r="K327" i="13" s="1"/>
  <c r="L351" i="13"/>
  <c r="L231" i="12"/>
  <c r="O353" i="12"/>
  <c r="K537" i="12"/>
  <c r="O46" i="13"/>
  <c r="N26" i="13"/>
  <c r="N16" i="13" s="1"/>
  <c r="N14" i="13" s="1"/>
  <c r="I77" i="13"/>
  <c r="O157" i="13"/>
  <c r="M330" i="13"/>
  <c r="M328" i="13" s="1"/>
  <c r="P394" i="13"/>
  <c r="L405" i="13"/>
  <c r="O405" i="13" s="1"/>
  <c r="L446" i="13"/>
  <c r="O446" i="13" s="1"/>
  <c r="M392" i="13"/>
  <c r="P392" i="13" s="1"/>
  <c r="N44" i="13"/>
  <c r="P58" i="13"/>
  <c r="L90" i="13"/>
  <c r="L88" i="13" s="1"/>
  <c r="L135" i="13"/>
  <c r="O135" i="13" s="1"/>
  <c r="M168" i="13"/>
  <c r="P168" i="13" s="1"/>
  <c r="O266" i="13"/>
  <c r="N279" i="13"/>
  <c r="N277" i="13" s="1"/>
  <c r="P333" i="13"/>
  <c r="P266" i="13"/>
  <c r="O690" i="13"/>
  <c r="K828" i="13"/>
  <c r="O91" i="12"/>
  <c r="K378" i="12"/>
  <c r="M72" i="13"/>
  <c r="P72" i="13" s="1"/>
  <c r="O184" i="13"/>
  <c r="N331" i="13"/>
  <c r="P331" i="13" s="1"/>
  <c r="M348" i="13"/>
  <c r="P348" i="13" s="1"/>
  <c r="O350" i="13"/>
  <c r="M687" i="13"/>
  <c r="M685" i="13" s="1"/>
  <c r="P685" i="13" s="1"/>
  <c r="K823" i="13"/>
  <c r="I174" i="13"/>
  <c r="K174" i="13" s="1"/>
  <c r="K176" i="13"/>
  <c r="I76" i="13"/>
  <c r="I64" i="13" s="1"/>
  <c r="K64" i="13" s="1"/>
  <c r="K82" i="13"/>
  <c r="L639" i="13"/>
  <c r="O639" i="13" s="1"/>
  <c r="L631" i="13"/>
  <c r="O641" i="13"/>
  <c r="L47" i="12"/>
  <c r="O47" i="12" s="1"/>
  <c r="O49" i="12"/>
  <c r="N43" i="13"/>
  <c r="N41" i="13" s="1"/>
  <c r="L405" i="11"/>
  <c r="O405" i="11" s="1"/>
  <c r="L421" i="13"/>
  <c r="L33" i="13"/>
  <c r="L31" i="13" s="1"/>
  <c r="O31" i="13" s="1"/>
  <c r="O424" i="13"/>
  <c r="L422" i="13"/>
  <c r="O422" i="13" s="1"/>
  <c r="M424" i="13"/>
  <c r="L477" i="13"/>
  <c r="O477" i="13" s="1"/>
  <c r="L469" i="13"/>
  <c r="O479" i="13"/>
  <c r="L36" i="13"/>
  <c r="K672" i="13"/>
  <c r="K674" i="13"/>
  <c r="I654" i="13"/>
  <c r="K673" i="13"/>
  <c r="M168" i="12"/>
  <c r="P168" i="12" s="1"/>
  <c r="M167" i="12"/>
  <c r="M165" i="12" s="1"/>
  <c r="O394" i="13"/>
  <c r="L391" i="13"/>
  <c r="J722" i="13"/>
  <c r="K722" i="13" s="1"/>
  <c r="K725" i="13"/>
  <c r="N47" i="13"/>
  <c r="N59" i="13"/>
  <c r="N55" i="13"/>
  <c r="N53" i="13" s="1"/>
  <c r="M267" i="13"/>
  <c r="P267" i="13" s="1"/>
  <c r="P269" i="13"/>
  <c r="M279" i="13"/>
  <c r="P279" i="13" s="1"/>
  <c r="P282" i="13"/>
  <c r="M280" i="13"/>
  <c r="P280" i="13" s="1"/>
  <c r="N317" i="13"/>
  <c r="N315" i="13" s="1"/>
  <c r="N318" i="13"/>
  <c r="O549" i="13"/>
  <c r="L546" i="13"/>
  <c r="O546" i="13" s="1"/>
  <c r="L263" i="12"/>
  <c r="L261" i="12" s="1"/>
  <c r="O348" i="12"/>
  <c r="K362" i="12"/>
  <c r="O49" i="13"/>
  <c r="O127" i="13"/>
  <c r="N134" i="13"/>
  <c r="N132" i="13" s="1"/>
  <c r="J143" i="13"/>
  <c r="J131" i="13" s="1"/>
  <c r="L151" i="13"/>
  <c r="L149" i="13" s="1"/>
  <c r="O170" i="13"/>
  <c r="I233" i="13"/>
  <c r="K233" i="13" s="1"/>
  <c r="L267" i="13"/>
  <c r="O267" i="13" s="1"/>
  <c r="L280" i="13"/>
  <c r="O280" i="13" s="1"/>
  <c r="O333" i="13"/>
  <c r="I443" i="13"/>
  <c r="K443" i="13" s="1"/>
  <c r="M23" i="13"/>
  <c r="M21" i="13" s="1"/>
  <c r="N151" i="13"/>
  <c r="N167" i="13"/>
  <c r="P170" i="13"/>
  <c r="L183" i="13"/>
  <c r="O186" i="13"/>
  <c r="L198" i="13"/>
  <c r="O198" i="13" s="1"/>
  <c r="L228" i="13"/>
  <c r="K325" i="13"/>
  <c r="K338" i="13"/>
  <c r="O348" i="13"/>
  <c r="K385" i="13"/>
  <c r="L404" i="13"/>
  <c r="K460" i="13"/>
  <c r="J537" i="13"/>
  <c r="J522" i="13" s="1"/>
  <c r="P44" i="12"/>
  <c r="M59" i="12"/>
  <c r="P59" i="12" s="1"/>
  <c r="N151" i="12"/>
  <c r="N149" i="12" s="1"/>
  <c r="N43" i="12"/>
  <c r="N41" i="12" s="1"/>
  <c r="K244" i="12"/>
  <c r="K287" i="12"/>
  <c r="M330" i="12"/>
  <c r="M392" i="12"/>
  <c r="P392" i="12" s="1"/>
  <c r="J721" i="12"/>
  <c r="K721" i="12" s="1"/>
  <c r="K145" i="13"/>
  <c r="N152" i="13"/>
  <c r="O152" i="13" s="1"/>
  <c r="L209" i="13"/>
  <c r="O209" i="13" s="1"/>
  <c r="L229" i="13"/>
  <c r="O353" i="13"/>
  <c r="O456" i="13"/>
  <c r="L657" i="13"/>
  <c r="O657" i="13" s="1"/>
  <c r="M26" i="13"/>
  <c r="I86" i="13"/>
  <c r="K86" i="13" s="1"/>
  <c r="N90" i="13"/>
  <c r="L134" i="13"/>
  <c r="L132" i="13" s="1"/>
  <c r="O132" i="13" s="1"/>
  <c r="L138" i="13"/>
  <c r="O138" i="13" s="1"/>
  <c r="L217" i="13"/>
  <c r="O217" i="13" s="1"/>
  <c r="M263" i="13"/>
  <c r="K340" i="13"/>
  <c r="N347" i="13"/>
  <c r="K825" i="13"/>
  <c r="P19" i="13"/>
  <c r="O189" i="11"/>
  <c r="L187" i="11"/>
  <c r="O187" i="11" s="1"/>
  <c r="P12" i="13"/>
  <c r="M304" i="13"/>
  <c r="P304" i="13" s="1"/>
  <c r="M187" i="11"/>
  <c r="P187" i="11" s="1"/>
  <c r="P189" i="11"/>
  <c r="I260" i="11"/>
  <c r="K260" i="11" s="1"/>
  <c r="M26" i="12"/>
  <c r="M16" i="12" s="1"/>
  <c r="P96" i="12"/>
  <c r="M94" i="12"/>
  <c r="P94" i="12" s="1"/>
  <c r="P32" i="13"/>
  <c r="M29" i="13"/>
  <c r="P67" i="13"/>
  <c r="M91" i="12"/>
  <c r="P91" i="12" s="1"/>
  <c r="M90" i="12"/>
  <c r="M88" i="12" s="1"/>
  <c r="N31" i="13"/>
  <c r="L68" i="13"/>
  <c r="M94" i="13"/>
  <c r="P94" i="13" s="1"/>
  <c r="P96" i="13"/>
  <c r="M90" i="13"/>
  <c r="I87" i="13"/>
  <c r="K87" i="13" s="1"/>
  <c r="K99" i="13"/>
  <c r="K225" i="13"/>
  <c r="P157" i="11"/>
  <c r="M155" i="11"/>
  <c r="P155" i="11" s="1"/>
  <c r="I197" i="11"/>
  <c r="K197" i="11" s="1"/>
  <c r="K204" i="11"/>
  <c r="K146" i="12"/>
  <c r="I130" i="12"/>
  <c r="K130" i="12" s="1"/>
  <c r="P320" i="12"/>
  <c r="M317" i="12"/>
  <c r="P317" i="12" s="1"/>
  <c r="K700" i="12"/>
  <c r="N28" i="13"/>
  <c r="L72" i="13"/>
  <c r="O72" i="13" s="1"/>
  <c r="O74" i="13"/>
  <c r="O89" i="13"/>
  <c r="L138" i="12"/>
  <c r="L134" i="12"/>
  <c r="L132" i="12" s="1"/>
  <c r="M424" i="12"/>
  <c r="M421" i="12" s="1"/>
  <c r="M419" i="12" s="1"/>
  <c r="L422" i="12"/>
  <c r="O422" i="12" s="1"/>
  <c r="O424" i="12"/>
  <c r="L421" i="12"/>
  <c r="O421" i="12" s="1"/>
  <c r="L56" i="13"/>
  <c r="O56" i="13" s="1"/>
  <c r="O58" i="13"/>
  <c r="N68" i="13"/>
  <c r="N66" i="13" s="1"/>
  <c r="N23" i="13"/>
  <c r="N21" i="13" s="1"/>
  <c r="O173" i="13"/>
  <c r="L171" i="13"/>
  <c r="O171" i="13" s="1"/>
  <c r="P25" i="13"/>
  <c r="M15" i="13"/>
  <c r="L59" i="13"/>
  <c r="O59" i="13" s="1"/>
  <c r="L26" i="13"/>
  <c r="O61" i="13"/>
  <c r="N69" i="13"/>
  <c r="P69" i="13" s="1"/>
  <c r="N122" i="13"/>
  <c r="N121" i="13"/>
  <c r="N119" i="13" s="1"/>
  <c r="K143" i="13"/>
  <c r="I131" i="13"/>
  <c r="K131" i="13" s="1"/>
  <c r="O323" i="13"/>
  <c r="L317" i="13"/>
  <c r="O317" i="13" s="1"/>
  <c r="L321" i="13"/>
  <c r="O321" i="13" s="1"/>
  <c r="M183" i="12"/>
  <c r="M181" i="12" s="1"/>
  <c r="L228" i="12"/>
  <c r="N12" i="13"/>
  <c r="N19" i="13"/>
  <c r="L23" i="13"/>
  <c r="O42" i="13"/>
  <c r="P46" i="13"/>
  <c r="P49" i="13"/>
  <c r="I130" i="13"/>
  <c r="K130" i="13" s="1"/>
  <c r="K146" i="13"/>
  <c r="M155" i="13"/>
  <c r="P155" i="13" s="1"/>
  <c r="P157" i="13"/>
  <c r="M183" i="13"/>
  <c r="K204" i="13"/>
  <c r="I197" i="13"/>
  <c r="K197" i="13" s="1"/>
  <c r="I216" i="13"/>
  <c r="K216" i="13" s="1"/>
  <c r="L249" i="13"/>
  <c r="O249" i="13" s="1"/>
  <c r="O299" i="13"/>
  <c r="P323" i="13"/>
  <c r="M317" i="13"/>
  <c r="P317" i="13" s="1"/>
  <c r="J669" i="13"/>
  <c r="K675" i="13"/>
  <c r="O807" i="13"/>
  <c r="L805" i="13"/>
  <c r="O805" i="13" s="1"/>
  <c r="N134" i="11"/>
  <c r="N132" i="11" s="1"/>
  <c r="L404" i="11"/>
  <c r="L402" i="11" s="1"/>
  <c r="O402" i="11" s="1"/>
  <c r="L9" i="13"/>
  <c r="L15" i="13"/>
  <c r="L29" i="13"/>
  <c r="N91" i="13"/>
  <c r="O91" i="13" s="1"/>
  <c r="M91" i="13"/>
  <c r="P93" i="13"/>
  <c r="L167" i="13"/>
  <c r="M171" i="13"/>
  <c r="P171" i="13" s="1"/>
  <c r="O182" i="13"/>
  <c r="P299" i="13"/>
  <c r="M321" i="13"/>
  <c r="P321" i="13" s="1"/>
  <c r="P444" i="13"/>
  <c r="K628" i="11"/>
  <c r="M125" i="13"/>
  <c r="P125" i="13" s="1"/>
  <c r="P127" i="13"/>
  <c r="M152" i="13"/>
  <c r="P154" i="13"/>
  <c r="L238" i="13"/>
  <c r="L301" i="13"/>
  <c r="O301" i="13" s="1"/>
  <c r="O303" i="13"/>
  <c r="L300" i="13"/>
  <c r="P772" i="13"/>
  <c r="M770" i="13"/>
  <c r="P770" i="13" s="1"/>
  <c r="M347" i="11"/>
  <c r="M345" i="11" s="1"/>
  <c r="I364" i="12"/>
  <c r="L69" i="13"/>
  <c r="O71" i="13"/>
  <c r="K79" i="13"/>
  <c r="O93" i="13"/>
  <c r="O166" i="13"/>
  <c r="M184" i="13"/>
  <c r="P184" i="13" s="1"/>
  <c r="L789" i="13"/>
  <c r="O789" i="13" s="1"/>
  <c r="L788" i="13"/>
  <c r="O788" i="13" s="1"/>
  <c r="O791" i="13"/>
  <c r="P71" i="13"/>
  <c r="M122" i="13"/>
  <c r="P122" i="13" s="1"/>
  <c r="P124" i="13"/>
  <c r="M151" i="13"/>
  <c r="L168" i="13"/>
  <c r="O168" i="13" s="1"/>
  <c r="L187" i="13"/>
  <c r="O187" i="13" s="1"/>
  <c r="I260" i="13"/>
  <c r="K260" i="13" s="1"/>
  <c r="L279" i="13"/>
  <c r="L283" i="13"/>
  <c r="O283" i="13" s="1"/>
  <c r="L304" i="13"/>
  <c r="O304" i="13" s="1"/>
  <c r="O306" i="13"/>
  <c r="M408" i="13"/>
  <c r="P408" i="13" s="1"/>
  <c r="P410" i="13"/>
  <c r="K593" i="13"/>
  <c r="I785" i="13"/>
  <c r="K785" i="13" s="1"/>
  <c r="K800" i="13"/>
  <c r="P303" i="13"/>
  <c r="K435" i="13"/>
  <c r="M467" i="13"/>
  <c r="P467" i="13" s="1"/>
  <c r="L547" i="13"/>
  <c r="O547" i="13" s="1"/>
  <c r="M549" i="13"/>
  <c r="M629" i="13"/>
  <c r="P629" i="13" s="1"/>
  <c r="O656" i="13"/>
  <c r="P690" i="13"/>
  <c r="M754" i="13"/>
  <c r="P754" i="13" s="1"/>
  <c r="P787" i="13"/>
  <c r="M786" i="13"/>
  <c r="P786" i="13" s="1"/>
  <c r="O316" i="13"/>
  <c r="M405" i="13"/>
  <c r="P405" i="13" s="1"/>
  <c r="P407" i="13"/>
  <c r="I433" i="13"/>
  <c r="N502" i="13"/>
  <c r="O535" i="13"/>
  <c r="L525" i="13"/>
  <c r="O545" i="13"/>
  <c r="L658" i="13"/>
  <c r="O658" i="13" s="1"/>
  <c r="M660" i="13"/>
  <c r="N685" i="13"/>
  <c r="N414" i="13" s="1"/>
  <c r="M737" i="13"/>
  <c r="P737" i="13" s="1"/>
  <c r="I248" i="13"/>
  <c r="K248" i="13" s="1"/>
  <c r="M300" i="13"/>
  <c r="L318" i="13"/>
  <c r="O318" i="13" s="1"/>
  <c r="J364" i="13"/>
  <c r="I434" i="13"/>
  <c r="L533" i="13"/>
  <c r="O533" i="13" s="1"/>
  <c r="L555" i="13"/>
  <c r="O555" i="13" s="1"/>
  <c r="I628" i="13"/>
  <c r="K628" i="13" s="1"/>
  <c r="K651" i="13"/>
  <c r="N770" i="13"/>
  <c r="P806" i="13"/>
  <c r="M805" i="13"/>
  <c r="P805" i="13" s="1"/>
  <c r="K821" i="13"/>
  <c r="N467" i="13"/>
  <c r="P555" i="13"/>
  <c r="M545" i="13"/>
  <c r="I559" i="13"/>
  <c r="K576" i="13"/>
  <c r="K592" i="13"/>
  <c r="N629" i="13"/>
  <c r="L688" i="13"/>
  <c r="O688" i="13" s="1"/>
  <c r="L392" i="12"/>
  <c r="O392" i="12" s="1"/>
  <c r="N43" i="11"/>
  <c r="N41" i="11" s="1"/>
  <c r="M23" i="12"/>
  <c r="K145" i="12"/>
  <c r="L167" i="12"/>
  <c r="L165" i="12" s="1"/>
  <c r="I216" i="12"/>
  <c r="K216" i="12" s="1"/>
  <c r="K255" i="12"/>
  <c r="O285" i="12"/>
  <c r="M331" i="12"/>
  <c r="P331" i="12" s="1"/>
  <c r="K359" i="12"/>
  <c r="K370" i="12"/>
  <c r="L525" i="12"/>
  <c r="O525" i="12" s="1"/>
  <c r="K726" i="12"/>
  <c r="K822" i="12"/>
  <c r="K825" i="12"/>
  <c r="K828" i="12"/>
  <c r="L209" i="12"/>
  <c r="O209" i="12" s="1"/>
  <c r="L249" i="12"/>
  <c r="O249" i="12" s="1"/>
  <c r="K355" i="12"/>
  <c r="K379" i="12"/>
  <c r="I443" i="12"/>
  <c r="K443" i="12" s="1"/>
  <c r="O634" i="12"/>
  <c r="M321" i="11"/>
  <c r="P321" i="11" s="1"/>
  <c r="L155" i="12"/>
  <c r="O155" i="12" s="1"/>
  <c r="L304" i="11"/>
  <c r="O304" i="11" s="1"/>
  <c r="M317" i="11"/>
  <c r="P317" i="11" s="1"/>
  <c r="O140" i="12"/>
  <c r="L229" i="12"/>
  <c r="I260" i="12"/>
  <c r="K260" i="12" s="1"/>
  <c r="K309" i="12"/>
  <c r="M321" i="12"/>
  <c r="P321" i="12" s="1"/>
  <c r="N317" i="12"/>
  <c r="N315" i="12" s="1"/>
  <c r="K340" i="12"/>
  <c r="K385" i="12"/>
  <c r="L631" i="12"/>
  <c r="O631" i="12" s="1"/>
  <c r="O641" i="12"/>
  <c r="K728" i="12"/>
  <c r="L330" i="11"/>
  <c r="L328" i="11" s="1"/>
  <c r="I364" i="11"/>
  <c r="L408" i="11"/>
  <c r="O408" i="11" s="1"/>
  <c r="L429" i="11"/>
  <c r="O429" i="11" s="1"/>
  <c r="P49" i="12"/>
  <c r="L56" i="12"/>
  <c r="O56" i="12" s="1"/>
  <c r="O137" i="12"/>
  <c r="J143" i="12"/>
  <c r="J131" i="12" s="1"/>
  <c r="M184" i="12"/>
  <c r="P186" i="12"/>
  <c r="I190" i="12"/>
  <c r="K190" i="12" s="1"/>
  <c r="L264" i="12"/>
  <c r="M267" i="12"/>
  <c r="P267" i="12" s="1"/>
  <c r="N279" i="12"/>
  <c r="N277" i="12" s="1"/>
  <c r="K288" i="12"/>
  <c r="I434" i="12"/>
  <c r="K434" i="12" s="1"/>
  <c r="K725" i="12"/>
  <c r="P336" i="11"/>
  <c r="M334" i="11"/>
  <c r="P334" i="11" s="1"/>
  <c r="N348" i="11"/>
  <c r="N347" i="11"/>
  <c r="N345" i="11" s="1"/>
  <c r="M330" i="11"/>
  <c r="M328" i="11" s="1"/>
  <c r="O74" i="12"/>
  <c r="L72" i="12"/>
  <c r="O72" i="12" s="1"/>
  <c r="L90" i="12"/>
  <c r="L88" i="12" s="1"/>
  <c r="N134" i="12"/>
  <c r="I174" i="12"/>
  <c r="I164" i="12" s="1"/>
  <c r="K164" i="12" s="1"/>
  <c r="K176" i="12"/>
  <c r="P189" i="12"/>
  <c r="M187" i="12"/>
  <c r="P187" i="12" s="1"/>
  <c r="P282" i="12"/>
  <c r="M279" i="12"/>
  <c r="I197" i="12"/>
  <c r="K197" i="12" s="1"/>
  <c r="K204" i="12"/>
  <c r="L304" i="12"/>
  <c r="O304" i="12" s="1"/>
  <c r="O306" i="12"/>
  <c r="M347" i="12"/>
  <c r="M345" i="12" s="1"/>
  <c r="M348" i="12"/>
  <c r="P348" i="12" s="1"/>
  <c r="P350" i="12"/>
  <c r="O157" i="11"/>
  <c r="L155" i="11"/>
  <c r="O155" i="11" s="1"/>
  <c r="O394" i="11"/>
  <c r="L392" i="11"/>
  <c r="O392" i="11" s="1"/>
  <c r="P58" i="12"/>
  <c r="M56" i="12"/>
  <c r="P56" i="12" s="1"/>
  <c r="L68" i="12"/>
  <c r="O68" i="12" s="1"/>
  <c r="N184" i="12"/>
  <c r="N183" i="12"/>
  <c r="N181" i="12" s="1"/>
  <c r="M280" i="12"/>
  <c r="P280" i="12" s="1"/>
  <c r="M300" i="12"/>
  <c r="P303" i="12"/>
  <c r="P394" i="11"/>
  <c r="M392" i="11"/>
  <c r="P392" i="11" s="1"/>
  <c r="O269" i="12"/>
  <c r="L267" i="12"/>
  <c r="O267" i="12" s="1"/>
  <c r="L300" i="12"/>
  <c r="N300" i="12"/>
  <c r="N298" i="12" s="1"/>
  <c r="N301" i="12"/>
  <c r="O301" i="12" s="1"/>
  <c r="L405" i="12"/>
  <c r="O405" i="12" s="1"/>
  <c r="O407" i="12"/>
  <c r="L404" i="12"/>
  <c r="L402" i="12" s="1"/>
  <c r="O402" i="12" s="1"/>
  <c r="O634" i="11"/>
  <c r="M634" i="11"/>
  <c r="M631" i="11" s="1"/>
  <c r="N68" i="12"/>
  <c r="N66" i="12" s="1"/>
  <c r="N69" i="12"/>
  <c r="P124" i="12"/>
  <c r="M122" i="12"/>
  <c r="P122" i="12" s="1"/>
  <c r="I208" i="12"/>
  <c r="K208" i="12" s="1"/>
  <c r="K215" i="12"/>
  <c r="M263" i="12"/>
  <c r="M261" i="12" s="1"/>
  <c r="M264" i="12"/>
  <c r="P269" i="11"/>
  <c r="M267" i="11"/>
  <c r="P267" i="11" s="1"/>
  <c r="K287" i="11"/>
  <c r="I276" i="11"/>
  <c r="K276" i="11" s="1"/>
  <c r="M304" i="11"/>
  <c r="P304" i="11" s="1"/>
  <c r="L33" i="11"/>
  <c r="L31" i="11" s="1"/>
  <c r="O46" i="12"/>
  <c r="L44" i="12"/>
  <c r="O44" i="12" s="1"/>
  <c r="K159" i="12"/>
  <c r="I148" i="12"/>
  <c r="K148" i="12" s="1"/>
  <c r="O336" i="12"/>
  <c r="L334" i="12"/>
  <c r="O334" i="12" s="1"/>
  <c r="L33" i="12"/>
  <c r="O71" i="12"/>
  <c r="M151" i="12"/>
  <c r="N167" i="12"/>
  <c r="I233" i="12"/>
  <c r="K233" i="12" s="1"/>
  <c r="L230" i="12"/>
  <c r="L279" i="12"/>
  <c r="O279" i="12" s="1"/>
  <c r="O282" i="12"/>
  <c r="M318" i="12"/>
  <c r="P318" i="12" s="1"/>
  <c r="M334" i="12"/>
  <c r="P334" i="12" s="1"/>
  <c r="K374" i="12"/>
  <c r="K381" i="12"/>
  <c r="M391" i="12"/>
  <c r="P391" i="12" s="1"/>
  <c r="K440" i="12"/>
  <c r="M449" i="12"/>
  <c r="M446" i="12" s="1"/>
  <c r="M444" i="12" s="1"/>
  <c r="O472" i="12"/>
  <c r="J537" i="12"/>
  <c r="J522" i="12" s="1"/>
  <c r="K594" i="12"/>
  <c r="K672" i="12"/>
  <c r="L687" i="12"/>
  <c r="M690" i="12"/>
  <c r="J722" i="12"/>
  <c r="K722" i="12" s="1"/>
  <c r="L788" i="12"/>
  <c r="O788" i="12" s="1"/>
  <c r="J433" i="12"/>
  <c r="J417" i="12" s="1"/>
  <c r="L446" i="12"/>
  <c r="L228" i="11"/>
  <c r="N26" i="12"/>
  <c r="N16" i="12" s="1"/>
  <c r="N14" i="12" s="1"/>
  <c r="L198" i="12"/>
  <c r="O198" i="12" s="1"/>
  <c r="L330" i="12"/>
  <c r="L328" i="12" s="1"/>
  <c r="L351" i="12"/>
  <c r="O351" i="12" s="1"/>
  <c r="K673" i="12"/>
  <c r="K360" i="12"/>
  <c r="L231" i="11"/>
  <c r="K340" i="11"/>
  <c r="K669" i="11"/>
  <c r="J722" i="11"/>
  <c r="L788" i="11"/>
  <c r="O788" i="11" s="1"/>
  <c r="L36" i="12"/>
  <c r="O36" i="12" s="1"/>
  <c r="N59" i="12"/>
  <c r="P170" i="12"/>
  <c r="L217" i="12"/>
  <c r="O217" i="12" s="1"/>
  <c r="L321" i="12"/>
  <c r="O321" i="12" s="1"/>
  <c r="L331" i="12"/>
  <c r="O331" i="12" s="1"/>
  <c r="P351" i="12"/>
  <c r="K372" i="12"/>
  <c r="M395" i="12"/>
  <c r="P395" i="12" s="1"/>
  <c r="M408" i="12"/>
  <c r="P408" i="12" s="1"/>
  <c r="K460" i="12"/>
  <c r="L688" i="12"/>
  <c r="O688" i="12" s="1"/>
  <c r="K723" i="12"/>
  <c r="L230" i="11"/>
  <c r="K362" i="11"/>
  <c r="K385" i="11"/>
  <c r="M405" i="11"/>
  <c r="P405" i="11" s="1"/>
  <c r="M125" i="12"/>
  <c r="P125" i="12" s="1"/>
  <c r="M155" i="12"/>
  <c r="P155" i="12" s="1"/>
  <c r="M171" i="12"/>
  <c r="P171" i="12" s="1"/>
  <c r="O266" i="12"/>
  <c r="J327" i="12"/>
  <c r="K327" i="12" s="1"/>
  <c r="N347" i="12"/>
  <c r="N345" i="12" s="1"/>
  <c r="P353" i="12"/>
  <c r="J364" i="12"/>
  <c r="L469" i="12"/>
  <c r="O469" i="12" s="1"/>
  <c r="O528" i="12"/>
  <c r="K592" i="12"/>
  <c r="K821" i="12"/>
  <c r="K824" i="12"/>
  <c r="K827" i="12"/>
  <c r="P469" i="11"/>
  <c r="M467" i="11"/>
  <c r="P467" i="11" s="1"/>
  <c r="M547" i="11"/>
  <c r="M546" i="11"/>
  <c r="M544" i="11" s="1"/>
  <c r="K86" i="12"/>
  <c r="O19" i="12"/>
  <c r="K669" i="12"/>
  <c r="J654" i="12"/>
  <c r="O93" i="11"/>
  <c r="M135" i="11"/>
  <c r="P135" i="11" s="1"/>
  <c r="L547" i="11"/>
  <c r="O547" i="11" s="1"/>
  <c r="L685" i="11"/>
  <c r="O685" i="11" s="1"/>
  <c r="L688" i="11"/>
  <c r="O688" i="11" s="1"/>
  <c r="M12" i="12"/>
  <c r="L15" i="12"/>
  <c r="L23" i="12"/>
  <c r="L21" i="12" s="1"/>
  <c r="L26" i="12"/>
  <c r="L24" i="12" s="1"/>
  <c r="P46" i="12"/>
  <c r="P74" i="12"/>
  <c r="M72" i="12"/>
  <c r="P72" i="12" s="1"/>
  <c r="I77" i="12"/>
  <c r="O93" i="12"/>
  <c r="K98" i="12"/>
  <c r="I112" i="12"/>
  <c r="K112" i="12" s="1"/>
  <c r="L121" i="12"/>
  <c r="I131" i="12"/>
  <c r="N138" i="12"/>
  <c r="P140" i="12"/>
  <c r="M138" i="12"/>
  <c r="K144" i="12"/>
  <c r="L152" i="12"/>
  <c r="O152" i="12" s="1"/>
  <c r="P262" i="12"/>
  <c r="O397" i="12"/>
  <c r="L391" i="12"/>
  <c r="M405" i="12"/>
  <c r="P405" i="12" s="1"/>
  <c r="P407" i="12"/>
  <c r="M404" i="12"/>
  <c r="P404" i="12" s="1"/>
  <c r="P445" i="12"/>
  <c r="L59" i="12"/>
  <c r="O59" i="12" s="1"/>
  <c r="P788" i="12"/>
  <c r="M786" i="12"/>
  <c r="P786" i="12" s="1"/>
  <c r="P807" i="12"/>
  <c r="M805" i="12"/>
  <c r="P805" i="12" s="1"/>
  <c r="M351" i="11"/>
  <c r="P351" i="11" s="1"/>
  <c r="M395" i="11"/>
  <c r="P395" i="11" s="1"/>
  <c r="N12" i="12"/>
  <c r="N31" i="12"/>
  <c r="N90" i="12"/>
  <c r="P93" i="12"/>
  <c r="N152" i="12"/>
  <c r="P152" i="12" s="1"/>
  <c r="P154" i="12"/>
  <c r="N264" i="12"/>
  <c r="P266" i="12"/>
  <c r="P329" i="12"/>
  <c r="K365" i="12"/>
  <c r="O154" i="11"/>
  <c r="I174" i="11"/>
  <c r="I164" i="11" s="1"/>
  <c r="K164" i="11" s="1"/>
  <c r="L280" i="11"/>
  <c r="O280" i="11" s="1"/>
  <c r="K378" i="11"/>
  <c r="K673" i="11"/>
  <c r="N19" i="12"/>
  <c r="P54" i="12"/>
  <c r="P71" i="12"/>
  <c r="M69" i="12"/>
  <c r="P69" i="12" s="1"/>
  <c r="K87" i="12"/>
  <c r="N121" i="12"/>
  <c r="N119" i="12" s="1"/>
  <c r="N135" i="12"/>
  <c r="O135" i="12" s="1"/>
  <c r="P137" i="12"/>
  <c r="M135" i="12"/>
  <c r="P150" i="12"/>
  <c r="L184" i="12"/>
  <c r="O186" i="12"/>
  <c r="L238" i="12"/>
  <c r="O320" i="12"/>
  <c r="L317" i="12"/>
  <c r="O317" i="12" s="1"/>
  <c r="O350" i="12"/>
  <c r="L347" i="12"/>
  <c r="N419" i="12"/>
  <c r="O468" i="12"/>
  <c r="P738" i="12"/>
  <c r="M737" i="12"/>
  <c r="P737" i="12" s="1"/>
  <c r="L152" i="11"/>
  <c r="O152" i="11" s="1"/>
  <c r="K370" i="11"/>
  <c r="P25" i="12"/>
  <c r="M15" i="12"/>
  <c r="L55" i="12"/>
  <c r="I76" i="12"/>
  <c r="L151" i="12"/>
  <c r="L168" i="12"/>
  <c r="O168" i="12" s="1"/>
  <c r="O170" i="12"/>
  <c r="L187" i="12"/>
  <c r="O187" i="12" s="1"/>
  <c r="O189" i="12"/>
  <c r="L318" i="12"/>
  <c r="O318" i="12" s="1"/>
  <c r="N408" i="12"/>
  <c r="N404" i="12"/>
  <c r="N402" i="12" s="1"/>
  <c r="P555" i="12"/>
  <c r="M545" i="12"/>
  <c r="P771" i="12"/>
  <c r="M770" i="12"/>
  <c r="P770" i="12" s="1"/>
  <c r="N121" i="11"/>
  <c r="N119" i="11" s="1"/>
  <c r="P152" i="11"/>
  <c r="L198" i="11"/>
  <c r="O198" i="11" s="1"/>
  <c r="L267" i="11"/>
  <c r="O267" i="11" s="1"/>
  <c r="K288" i="11"/>
  <c r="K647" i="11"/>
  <c r="O791" i="11"/>
  <c r="K826" i="11"/>
  <c r="O22" i="12"/>
  <c r="P32" i="12"/>
  <c r="M29" i="12"/>
  <c r="M43" i="12"/>
  <c r="N23" i="12"/>
  <c r="M55" i="12"/>
  <c r="P55" i="12" s="1"/>
  <c r="M68" i="12"/>
  <c r="O96" i="12"/>
  <c r="K99" i="12"/>
  <c r="L122" i="12"/>
  <c r="O122" i="12" s="1"/>
  <c r="M134" i="12"/>
  <c r="L171" i="12"/>
  <c r="O171" i="12" s="1"/>
  <c r="O173" i="12"/>
  <c r="P299" i="12"/>
  <c r="O278" i="12"/>
  <c r="M304" i="12"/>
  <c r="P304" i="12" s="1"/>
  <c r="P333" i="12"/>
  <c r="K338" i="12"/>
  <c r="P390" i="12"/>
  <c r="O410" i="12"/>
  <c r="N421" i="12"/>
  <c r="N444" i="12"/>
  <c r="O470" i="12"/>
  <c r="L658" i="12"/>
  <c r="O658" i="12" s="1"/>
  <c r="O660" i="12"/>
  <c r="M660" i="12"/>
  <c r="P686" i="12"/>
  <c r="O787" i="12"/>
  <c r="I785" i="12"/>
  <c r="K785" i="12" s="1"/>
  <c r="K800" i="12"/>
  <c r="O806" i="12"/>
  <c r="L805" i="12"/>
  <c r="O805" i="12" s="1"/>
  <c r="M301" i="12"/>
  <c r="L429" i="12"/>
  <c r="O429" i="12" s="1"/>
  <c r="O431" i="12"/>
  <c r="N447" i="12"/>
  <c r="O447" i="12" s="1"/>
  <c r="I559" i="12"/>
  <c r="K576" i="12"/>
  <c r="K593" i="12"/>
  <c r="O657" i="12"/>
  <c r="L655" i="12"/>
  <c r="O655" i="12" s="1"/>
  <c r="I628" i="12"/>
  <c r="K628" i="12" s="1"/>
  <c r="K651" i="12"/>
  <c r="P755" i="12"/>
  <c r="M754" i="12"/>
  <c r="P754" i="12" s="1"/>
  <c r="K225" i="12"/>
  <c r="N391" i="12"/>
  <c r="N389" i="12" s="1"/>
  <c r="I433" i="12"/>
  <c r="K435" i="12"/>
  <c r="O449" i="12"/>
  <c r="M523" i="12"/>
  <c r="P523" i="12" s="1"/>
  <c r="P524" i="12"/>
  <c r="L547" i="12"/>
  <c r="O547" i="12" s="1"/>
  <c r="O549" i="12"/>
  <c r="M549" i="12"/>
  <c r="L555" i="12"/>
  <c r="O555" i="12" s="1"/>
  <c r="O557" i="12"/>
  <c r="P630" i="12"/>
  <c r="M629" i="12"/>
  <c r="P629" i="12" s="1"/>
  <c r="I226" i="12"/>
  <c r="K226" i="12" s="1"/>
  <c r="I275" i="12"/>
  <c r="K275" i="12" s="1"/>
  <c r="O303" i="12"/>
  <c r="O479" i="12"/>
  <c r="P503" i="12"/>
  <c r="M502" i="12"/>
  <c r="P502" i="12" s="1"/>
  <c r="L546" i="12"/>
  <c r="K675" i="12"/>
  <c r="I654" i="12"/>
  <c r="O96" i="11"/>
  <c r="L90" i="11"/>
  <c r="L88" i="11" s="1"/>
  <c r="P154" i="11"/>
  <c r="M151" i="11"/>
  <c r="M149" i="11" s="1"/>
  <c r="P410" i="11"/>
  <c r="M408" i="11"/>
  <c r="P408" i="11" s="1"/>
  <c r="L533" i="11"/>
  <c r="O533" i="11" s="1"/>
  <c r="L36" i="11"/>
  <c r="O36" i="11" s="1"/>
  <c r="O535" i="11"/>
  <c r="I592" i="11"/>
  <c r="K592" i="11" s="1"/>
  <c r="K593" i="11"/>
  <c r="L546" i="11"/>
  <c r="O546" i="11" s="1"/>
  <c r="L555" i="11"/>
  <c r="O555" i="11" s="1"/>
  <c r="I559" i="11"/>
  <c r="K576" i="11"/>
  <c r="N26" i="11"/>
  <c r="N16" i="11" s="1"/>
  <c r="N14" i="11" s="1"/>
  <c r="N151" i="11"/>
  <c r="N149" i="11" s="1"/>
  <c r="I248" i="11"/>
  <c r="K248" i="11" s="1"/>
  <c r="K374" i="11"/>
  <c r="K465" i="11"/>
  <c r="L632" i="11"/>
  <c r="O632" i="11" s="1"/>
  <c r="L43" i="11"/>
  <c r="L41" i="11" s="1"/>
  <c r="M23" i="11"/>
  <c r="M21" i="11" s="1"/>
  <c r="O410" i="11"/>
  <c r="O479" i="11"/>
  <c r="M43" i="11"/>
  <c r="M134" i="11"/>
  <c r="P134" i="11" s="1"/>
  <c r="N263" i="11"/>
  <c r="N261" i="11" s="1"/>
  <c r="L631" i="11"/>
  <c r="O631" i="11" s="1"/>
  <c r="K98" i="11"/>
  <c r="M122" i="11"/>
  <c r="P122" i="11" s="1"/>
  <c r="L209" i="11"/>
  <c r="O209" i="11" s="1"/>
  <c r="N330" i="11"/>
  <c r="N328" i="11" s="1"/>
  <c r="O46" i="11"/>
  <c r="N135" i="11"/>
  <c r="P285" i="11"/>
  <c r="M283" i="11"/>
  <c r="P283" i="11" s="1"/>
  <c r="L47" i="11"/>
  <c r="O47" i="11" s="1"/>
  <c r="P58" i="11"/>
  <c r="L94" i="11"/>
  <c r="O94" i="11" s="1"/>
  <c r="O140" i="11"/>
  <c r="L167" i="11"/>
  <c r="L165" i="11" s="1"/>
  <c r="O170" i="11"/>
  <c r="L183" i="11"/>
  <c r="L181" i="11" s="1"/>
  <c r="L238" i="11"/>
  <c r="O238" i="11" s="1"/>
  <c r="M301" i="11"/>
  <c r="P301" i="11" s="1"/>
  <c r="K325" i="11"/>
  <c r="L526" i="11"/>
  <c r="O526" i="11" s="1"/>
  <c r="O528" i="11"/>
  <c r="L525" i="11"/>
  <c r="O49" i="11"/>
  <c r="M59" i="11"/>
  <c r="P59" i="11" s="1"/>
  <c r="N68" i="11"/>
  <c r="N66" i="11" s="1"/>
  <c r="K99" i="11"/>
  <c r="L125" i="11"/>
  <c r="O125" i="11" s="1"/>
  <c r="L151" i="11"/>
  <c r="M183" i="11"/>
  <c r="M181" i="11" s="1"/>
  <c r="O186" i="11"/>
  <c r="K215" i="11"/>
  <c r="K224" i="11"/>
  <c r="M331" i="11"/>
  <c r="P331" i="11" s="1"/>
  <c r="O336" i="11"/>
  <c r="L334" i="11"/>
  <c r="O334" i="11" s="1"/>
  <c r="N391" i="11"/>
  <c r="N389" i="11" s="1"/>
  <c r="O472" i="11"/>
  <c r="L470" i="11"/>
  <c r="O470" i="11" s="1"/>
  <c r="K651" i="11"/>
  <c r="K675" i="11"/>
  <c r="K672" i="11"/>
  <c r="I654" i="11"/>
  <c r="K654" i="11" s="1"/>
  <c r="O173" i="11"/>
  <c r="L171" i="11"/>
  <c r="O171" i="11" s="1"/>
  <c r="N44" i="11"/>
  <c r="O44" i="11" s="1"/>
  <c r="O56" i="11"/>
  <c r="P93" i="11"/>
  <c r="N122" i="11"/>
  <c r="M168" i="11"/>
  <c r="P170" i="11"/>
  <c r="M56" i="11"/>
  <c r="P56" i="11" s="1"/>
  <c r="L318" i="11"/>
  <c r="O318" i="11" s="1"/>
  <c r="O320" i="11"/>
  <c r="L317" i="11"/>
  <c r="M55" i="11"/>
  <c r="M53" i="11" s="1"/>
  <c r="M69" i="11"/>
  <c r="P69" i="11" s="1"/>
  <c r="I77" i="11"/>
  <c r="I65" i="11" s="1"/>
  <c r="K65" i="11" s="1"/>
  <c r="L134" i="11"/>
  <c r="O134" i="11" s="1"/>
  <c r="P333" i="11"/>
  <c r="M404" i="11"/>
  <c r="P404" i="11" s="1"/>
  <c r="M424" i="11"/>
  <c r="P424" i="11" s="1"/>
  <c r="L421" i="11"/>
  <c r="O421" i="11" s="1"/>
  <c r="M470" i="11"/>
  <c r="P470" i="11" s="1"/>
  <c r="P472" i="11"/>
  <c r="M26" i="11"/>
  <c r="M16" i="11" s="1"/>
  <c r="N55" i="11"/>
  <c r="N53" i="11" s="1"/>
  <c r="O58" i="11"/>
  <c r="L229" i="11"/>
  <c r="K360" i="11"/>
  <c r="K369" i="11"/>
  <c r="I442" i="11"/>
  <c r="K442" i="11" s="1"/>
  <c r="L657" i="11"/>
  <c r="O660" i="11"/>
  <c r="N405" i="11"/>
  <c r="N404" i="11"/>
  <c r="N402" i="11" s="1"/>
  <c r="L283" i="11"/>
  <c r="O283" i="11" s="1"/>
  <c r="L279" i="11"/>
  <c r="O279" i="11" s="1"/>
  <c r="O285" i="11"/>
  <c r="M279" i="11"/>
  <c r="P279" i="11" s="1"/>
  <c r="K309" i="11"/>
  <c r="P350" i="11"/>
  <c r="M348" i="11"/>
  <c r="L217" i="11"/>
  <c r="O217" i="11" s="1"/>
  <c r="P266" i="11"/>
  <c r="O353" i="11"/>
  <c r="K379" i="11"/>
  <c r="O557" i="11"/>
  <c r="K649" i="11"/>
  <c r="P264" i="11"/>
  <c r="J327" i="11"/>
  <c r="K327" i="11" s="1"/>
  <c r="I434" i="11"/>
  <c r="I418" i="11" s="1"/>
  <c r="K418" i="11" s="1"/>
  <c r="K577" i="11"/>
  <c r="K822" i="11"/>
  <c r="K828" i="11"/>
  <c r="N300" i="11"/>
  <c r="N298" i="11" s="1"/>
  <c r="O333" i="11"/>
  <c r="K338" i="11"/>
  <c r="K359" i="11"/>
  <c r="M391" i="11"/>
  <c r="M389" i="11" s="1"/>
  <c r="P389" i="11" s="1"/>
  <c r="J433" i="11"/>
  <c r="J417" i="11" s="1"/>
  <c r="K823" i="11"/>
  <c r="K824" i="11"/>
  <c r="N30" i="11"/>
  <c r="N28" i="11" s="1"/>
  <c r="N31" i="11"/>
  <c r="O15" i="11"/>
  <c r="P19" i="11"/>
  <c r="L9" i="11"/>
  <c r="O12" i="11"/>
  <c r="L19" i="11"/>
  <c r="N19" i="11"/>
  <c r="N12" i="11"/>
  <c r="O25" i="11"/>
  <c r="L55" i="11"/>
  <c r="L59" i="11"/>
  <c r="O59" i="11" s="1"/>
  <c r="M94" i="11"/>
  <c r="P94" i="11" s="1"/>
  <c r="P96" i="11"/>
  <c r="M90" i="11"/>
  <c r="M138" i="11"/>
  <c r="P138" i="11" s="1"/>
  <c r="P140" i="11"/>
  <c r="K540" i="11"/>
  <c r="J537" i="11"/>
  <c r="J522" i="11" s="1"/>
  <c r="L26" i="11"/>
  <c r="P32" i="11"/>
  <c r="M29" i="11"/>
  <c r="M47" i="11"/>
  <c r="P47" i="11" s="1"/>
  <c r="P49" i="11"/>
  <c r="L72" i="11"/>
  <c r="O72" i="11" s="1"/>
  <c r="O74" i="11"/>
  <c r="O329" i="11"/>
  <c r="P403" i="11"/>
  <c r="N184" i="11"/>
  <c r="P186" i="11"/>
  <c r="N318" i="11"/>
  <c r="N317" i="11"/>
  <c r="N315" i="11" s="1"/>
  <c r="N788" i="11"/>
  <c r="N786" i="11" s="1"/>
  <c r="N789" i="11"/>
  <c r="I785" i="11"/>
  <c r="K785" i="11" s="1"/>
  <c r="K800" i="11"/>
  <c r="L29" i="11"/>
  <c r="M34" i="11"/>
  <c r="P34" i="11" s="1"/>
  <c r="O35" i="11"/>
  <c r="L23" i="11"/>
  <c r="L21" i="11" s="1"/>
  <c r="P74" i="11"/>
  <c r="M68" i="11"/>
  <c r="P68" i="11" s="1"/>
  <c r="P127" i="11"/>
  <c r="M121" i="11"/>
  <c r="N183" i="11"/>
  <c r="O303" i="11"/>
  <c r="L300" i="11"/>
  <c r="K145" i="11"/>
  <c r="I143" i="11"/>
  <c r="M44" i="11"/>
  <c r="P46" i="11"/>
  <c r="L135" i="11"/>
  <c r="O135" i="11" s="1"/>
  <c r="O137" i="11"/>
  <c r="J143" i="11"/>
  <c r="J131" i="11" s="1"/>
  <c r="M171" i="11"/>
  <c r="P171" i="11" s="1"/>
  <c r="P173" i="11"/>
  <c r="M167" i="11"/>
  <c r="P182" i="11"/>
  <c r="O266" i="11"/>
  <c r="L263" i="11"/>
  <c r="N280" i="11"/>
  <c r="N279" i="11"/>
  <c r="N277" i="11" s="1"/>
  <c r="P12" i="11"/>
  <c r="M9" i="11"/>
  <c r="L69" i="11"/>
  <c r="O69" i="11" s="1"/>
  <c r="O71" i="11"/>
  <c r="L68" i="11"/>
  <c r="O150" i="11"/>
  <c r="P25" i="11"/>
  <c r="M15" i="11"/>
  <c r="N23" i="11"/>
  <c r="I112" i="11"/>
  <c r="K112" i="11" s="1"/>
  <c r="O124" i="11"/>
  <c r="L121" i="11"/>
  <c r="O121" i="11" s="1"/>
  <c r="K144" i="11"/>
  <c r="I148" i="11"/>
  <c r="K148" i="11" s="1"/>
  <c r="K159" i="11"/>
  <c r="K193" i="11"/>
  <c r="I190" i="11"/>
  <c r="K190" i="11" s="1"/>
  <c r="I233" i="11"/>
  <c r="K233" i="11" s="1"/>
  <c r="K244" i="11"/>
  <c r="I237" i="11"/>
  <c r="L264" i="11"/>
  <c r="O264" i="11" s="1"/>
  <c r="O346" i="11"/>
  <c r="J365" i="11"/>
  <c r="K372" i="11"/>
  <c r="O350" i="11"/>
  <c r="L347" i="11"/>
  <c r="K355" i="11"/>
  <c r="O503" i="11"/>
  <c r="L502" i="11"/>
  <c r="O502" i="11" s="1"/>
  <c r="I522" i="11"/>
  <c r="K522" i="11" s="1"/>
  <c r="K537" i="11"/>
  <c r="N69" i="11"/>
  <c r="I76" i="11"/>
  <c r="N91" i="11"/>
  <c r="P91" i="11" s="1"/>
  <c r="N168" i="11"/>
  <c r="L249" i="11"/>
  <c r="O331" i="11"/>
  <c r="L348" i="11"/>
  <c r="L391" i="11"/>
  <c r="O391" i="11" s="1"/>
  <c r="L395" i="11"/>
  <c r="O395" i="11" s="1"/>
  <c r="K440" i="11"/>
  <c r="M502" i="11"/>
  <c r="P502" i="11" s="1"/>
  <c r="O787" i="11"/>
  <c r="M263" i="11"/>
  <c r="M300" i="11"/>
  <c r="P300" i="11" s="1"/>
  <c r="M523" i="11"/>
  <c r="P523" i="11" s="1"/>
  <c r="P787" i="11"/>
  <c r="M786" i="11"/>
  <c r="P786" i="11" s="1"/>
  <c r="N90" i="11"/>
  <c r="N167" i="11"/>
  <c r="I275" i="11"/>
  <c r="K275" i="11" s="1"/>
  <c r="M280" i="11"/>
  <c r="P280" i="11" s="1"/>
  <c r="O323" i="11"/>
  <c r="O351" i="11"/>
  <c r="K381" i="11"/>
  <c r="L422" i="11"/>
  <c r="O422" i="11" s="1"/>
  <c r="O424" i="11"/>
  <c r="O456" i="11"/>
  <c r="L446" i="11"/>
  <c r="L454" i="11"/>
  <c r="O454" i="11" s="1"/>
  <c r="P320" i="11"/>
  <c r="M318" i="11"/>
  <c r="P318" i="11" s="1"/>
  <c r="N504" i="11"/>
  <c r="N502" i="11" s="1"/>
  <c r="N505" i="11"/>
  <c r="O549" i="11"/>
  <c r="N546" i="11"/>
  <c r="N547" i="11"/>
  <c r="P549" i="11"/>
  <c r="P738" i="11"/>
  <c r="M737" i="11"/>
  <c r="P737" i="11" s="1"/>
  <c r="O420" i="11"/>
  <c r="J594" i="11"/>
  <c r="K594" i="11" s="1"/>
  <c r="P686" i="11"/>
  <c r="M685" i="11"/>
  <c r="P685" i="11" s="1"/>
  <c r="M770" i="11"/>
  <c r="P770" i="11" s="1"/>
  <c r="P806" i="11"/>
  <c r="M805" i="11"/>
  <c r="P805" i="11" s="1"/>
  <c r="K821" i="11"/>
  <c r="K827" i="11"/>
  <c r="N685" i="11"/>
  <c r="K825" i="11"/>
  <c r="L469" i="11"/>
  <c r="L467" i="16" l="1"/>
  <c r="O467" i="16" s="1"/>
  <c r="O546" i="18"/>
  <c r="O279" i="21"/>
  <c r="L20" i="22"/>
  <c r="P279" i="21"/>
  <c r="O300" i="21"/>
  <c r="M20" i="22"/>
  <c r="M18" i="22" s="1"/>
  <c r="O55" i="12"/>
  <c r="L298" i="18"/>
  <c r="O298" i="18" s="1"/>
  <c r="P55" i="21"/>
  <c r="P167" i="22"/>
  <c r="O90" i="22"/>
  <c r="P347" i="22"/>
  <c r="M298" i="20"/>
  <c r="P298" i="20" s="1"/>
  <c r="O68" i="22"/>
  <c r="O330" i="22"/>
  <c r="P263" i="16"/>
  <c r="M421" i="21"/>
  <c r="M419" i="21" s="1"/>
  <c r="M345" i="22"/>
  <c r="P345" i="22" s="1"/>
  <c r="K434" i="22"/>
  <c r="P690" i="22"/>
  <c r="L315" i="22"/>
  <c r="O315" i="22" s="1"/>
  <c r="M315" i="22"/>
  <c r="P315" i="22" s="1"/>
  <c r="O469" i="15"/>
  <c r="L786" i="19"/>
  <c r="O786" i="19" s="1"/>
  <c r="O347" i="19"/>
  <c r="P151" i="17"/>
  <c r="O263" i="22"/>
  <c r="P90" i="22"/>
  <c r="P88" i="22"/>
  <c r="O90" i="16"/>
  <c r="L20" i="20"/>
  <c r="L18" i="20" s="1"/>
  <c r="L467" i="18"/>
  <c r="O467" i="18" s="1"/>
  <c r="M546" i="17"/>
  <c r="P546" i="17" s="1"/>
  <c r="L444" i="22"/>
  <c r="O444" i="22" s="1"/>
  <c r="M389" i="22"/>
  <c r="P389" i="22" s="1"/>
  <c r="O90" i="13"/>
  <c r="M547" i="17"/>
  <c r="P547" i="17" s="1"/>
  <c r="O330" i="21"/>
  <c r="M447" i="22"/>
  <c r="P447" i="22" s="1"/>
  <c r="L119" i="22"/>
  <c r="O119" i="22" s="1"/>
  <c r="P347" i="20"/>
  <c r="M315" i="21"/>
  <c r="P315" i="21" s="1"/>
  <c r="M658" i="22"/>
  <c r="P658" i="22" s="1"/>
  <c r="P449" i="22"/>
  <c r="P446" i="22"/>
  <c r="L655" i="22"/>
  <c r="O655" i="22" s="1"/>
  <c r="L467" i="22"/>
  <c r="O467" i="22" s="1"/>
  <c r="O151" i="20"/>
  <c r="O43" i="18"/>
  <c r="P330" i="22"/>
  <c r="M657" i="22"/>
  <c r="K433" i="22"/>
  <c r="K417" i="22"/>
  <c r="L41" i="18"/>
  <c r="O41" i="18" s="1"/>
  <c r="O43" i="20"/>
  <c r="P347" i="21"/>
  <c r="P43" i="18"/>
  <c r="M685" i="22"/>
  <c r="P685" i="22" s="1"/>
  <c r="P181" i="22"/>
  <c r="M688" i="22"/>
  <c r="P688" i="22" s="1"/>
  <c r="O300" i="17"/>
  <c r="L181" i="22"/>
  <c r="O181" i="22" s="1"/>
  <c r="L34" i="22"/>
  <c r="O34" i="22" s="1"/>
  <c r="O88" i="22"/>
  <c r="M402" i="22"/>
  <c r="P402" i="22" s="1"/>
  <c r="M132" i="22"/>
  <c r="P132" i="22" s="1"/>
  <c r="P330" i="18"/>
  <c r="L389" i="19"/>
  <c r="O389" i="19" s="1"/>
  <c r="L132" i="20"/>
  <c r="O132" i="20" s="1"/>
  <c r="O55" i="19"/>
  <c r="L444" i="21"/>
  <c r="O444" i="21" s="1"/>
  <c r="O347" i="21"/>
  <c r="O263" i="20"/>
  <c r="O55" i="21"/>
  <c r="O53" i="20"/>
  <c r="P53" i="22"/>
  <c r="I64" i="16"/>
  <c r="K64" i="16" s="1"/>
  <c r="O631" i="17"/>
  <c r="O345" i="21"/>
  <c r="O280" i="21"/>
  <c r="O23" i="22"/>
  <c r="P279" i="18"/>
  <c r="I64" i="22"/>
  <c r="K64" i="22" s="1"/>
  <c r="O788" i="22"/>
  <c r="L786" i="22"/>
  <c r="O786" i="22" s="1"/>
  <c r="L165" i="22"/>
  <c r="O165" i="22" s="1"/>
  <c r="L389" i="21"/>
  <c r="O389" i="21" s="1"/>
  <c r="K174" i="21"/>
  <c r="O347" i="20"/>
  <c r="O263" i="21"/>
  <c r="L544" i="22"/>
  <c r="O544" i="22" s="1"/>
  <c r="N261" i="22"/>
  <c r="O261" i="22" s="1"/>
  <c r="M66" i="22"/>
  <c r="P66" i="22" s="1"/>
  <c r="P549" i="22"/>
  <c r="M546" i="22"/>
  <c r="M53" i="21"/>
  <c r="P53" i="21" s="1"/>
  <c r="M547" i="22"/>
  <c r="P547" i="22" s="1"/>
  <c r="P549" i="19"/>
  <c r="P55" i="22"/>
  <c r="P183" i="22"/>
  <c r="K76" i="15"/>
  <c r="O786" i="18"/>
  <c r="M132" i="18"/>
  <c r="P132" i="18" s="1"/>
  <c r="O90" i="21"/>
  <c r="P90" i="21"/>
  <c r="K77" i="22"/>
  <c r="L227" i="22"/>
  <c r="M632" i="16"/>
  <c r="P632" i="16" s="1"/>
  <c r="O629" i="17"/>
  <c r="O347" i="17"/>
  <c r="M277" i="18"/>
  <c r="P277" i="18" s="1"/>
  <c r="O43" i="19"/>
  <c r="L328" i="22"/>
  <c r="O328" i="22" s="1"/>
  <c r="M345" i="20"/>
  <c r="P345" i="20" s="1"/>
  <c r="O348" i="21"/>
  <c r="L132" i="22"/>
  <c r="O132" i="22" s="1"/>
  <c r="O134" i="22"/>
  <c r="P263" i="22"/>
  <c r="M261" i="22"/>
  <c r="P301" i="17"/>
  <c r="L544" i="19"/>
  <c r="O544" i="19" s="1"/>
  <c r="P181" i="21"/>
  <c r="M149" i="22"/>
  <c r="P149" i="22" s="1"/>
  <c r="L24" i="22"/>
  <c r="M24" i="22"/>
  <c r="P279" i="22"/>
  <c r="M277" i="22"/>
  <c r="P277" i="22" s="1"/>
  <c r="P300" i="22"/>
  <c r="M298" i="22"/>
  <c r="P298" i="22" s="1"/>
  <c r="N24" i="22"/>
  <c r="N16" i="22"/>
  <c r="N14" i="22" s="1"/>
  <c r="P68" i="18"/>
  <c r="P300" i="21"/>
  <c r="P280" i="21"/>
  <c r="M422" i="21"/>
  <c r="P422" i="21" s="1"/>
  <c r="P328" i="22"/>
  <c r="M547" i="19"/>
  <c r="P547" i="19" s="1"/>
  <c r="K654" i="20"/>
  <c r="L389" i="20"/>
  <c r="O389" i="20" s="1"/>
  <c r="M402" i="20"/>
  <c r="P402" i="20" s="1"/>
  <c r="L629" i="20"/>
  <c r="O629" i="20" s="1"/>
  <c r="M345" i="21"/>
  <c r="P345" i="21" s="1"/>
  <c r="P151" i="21"/>
  <c r="L277" i="21"/>
  <c r="O277" i="21" s="1"/>
  <c r="L685" i="22"/>
  <c r="O685" i="22" s="1"/>
  <c r="O56" i="22"/>
  <c r="O279" i="22"/>
  <c r="L277" i="22"/>
  <c r="O277" i="22" s="1"/>
  <c r="P43" i="16"/>
  <c r="L786" i="17"/>
  <c r="O786" i="17" s="1"/>
  <c r="M544" i="19"/>
  <c r="P544" i="19" s="1"/>
  <c r="N261" i="21"/>
  <c r="P261" i="21" s="1"/>
  <c r="P263" i="21"/>
  <c r="O183" i="21"/>
  <c r="K364" i="21"/>
  <c r="P183" i="21"/>
  <c r="L402" i="22"/>
  <c r="O402" i="22" s="1"/>
  <c r="O404" i="22"/>
  <c r="L18" i="22"/>
  <c r="O41" i="22"/>
  <c r="O36" i="17"/>
  <c r="P331" i="18"/>
  <c r="K76" i="19"/>
  <c r="P167" i="19"/>
  <c r="O167" i="21"/>
  <c r="M88" i="21"/>
  <c r="P88" i="21" s="1"/>
  <c r="N298" i="21"/>
  <c r="O298" i="21" s="1"/>
  <c r="K237" i="22"/>
  <c r="I226" i="22"/>
  <c r="O300" i="22"/>
  <c r="L298" i="22"/>
  <c r="O298" i="22" s="1"/>
  <c r="P26" i="22"/>
  <c r="M16" i="22"/>
  <c r="M421" i="22"/>
  <c r="P424" i="22"/>
  <c r="M422" i="22"/>
  <c r="P422" i="22" s="1"/>
  <c r="M33" i="22"/>
  <c r="O151" i="22"/>
  <c r="L149" i="22"/>
  <c r="O149" i="22" s="1"/>
  <c r="M119" i="22"/>
  <c r="P119" i="22" s="1"/>
  <c r="L629" i="22"/>
  <c r="O629" i="22" s="1"/>
  <c r="N421" i="22"/>
  <c r="N422" i="22"/>
  <c r="O422" i="22" s="1"/>
  <c r="N33" i="22"/>
  <c r="P19" i="22"/>
  <c r="O347" i="22"/>
  <c r="L345" i="22"/>
  <c r="O345" i="22" s="1"/>
  <c r="O391" i="22"/>
  <c r="L389" i="22"/>
  <c r="O389" i="22" s="1"/>
  <c r="O55" i="22"/>
  <c r="L53" i="22"/>
  <c r="M9" i="22"/>
  <c r="P15" i="22"/>
  <c r="P43" i="22"/>
  <c r="O43" i="22"/>
  <c r="O12" i="22"/>
  <c r="L9" i="22"/>
  <c r="P263" i="19"/>
  <c r="O688" i="20"/>
  <c r="O687" i="20"/>
  <c r="M132" i="20"/>
  <c r="P132" i="20" s="1"/>
  <c r="O53" i="21"/>
  <c r="L119" i="21"/>
  <c r="O119" i="21" s="1"/>
  <c r="L523" i="22"/>
  <c r="O523" i="22" s="1"/>
  <c r="P444" i="22"/>
  <c r="O26" i="22"/>
  <c r="L16" i="22"/>
  <c r="P44" i="22"/>
  <c r="O44" i="22"/>
  <c r="L786" i="21"/>
  <c r="O786" i="21" s="1"/>
  <c r="O788" i="21"/>
  <c r="O33" i="22"/>
  <c r="L30" i="22"/>
  <c r="L31" i="22"/>
  <c r="P29" i="22"/>
  <c r="P41" i="22"/>
  <c r="L13" i="22"/>
  <c r="L11" i="22" s="1"/>
  <c r="N20" i="22"/>
  <c r="N18" i="22" s="1"/>
  <c r="N13" i="22"/>
  <c r="N21" i="22"/>
  <c r="O21" i="22" s="1"/>
  <c r="P23" i="22"/>
  <c r="L298" i="17"/>
  <c r="O298" i="17" s="1"/>
  <c r="L655" i="18"/>
  <c r="O655" i="18" s="1"/>
  <c r="O68" i="18"/>
  <c r="O317" i="20"/>
  <c r="M119" i="19"/>
  <c r="P119" i="19" s="1"/>
  <c r="L227" i="19"/>
  <c r="P660" i="21"/>
  <c r="M657" i="21"/>
  <c r="K275" i="21"/>
  <c r="O167" i="17"/>
  <c r="P347" i="18"/>
  <c r="O167" i="19"/>
  <c r="L786" i="20"/>
  <c r="O786" i="20" s="1"/>
  <c r="O167" i="20"/>
  <c r="L328" i="21"/>
  <c r="O328" i="21" s="1"/>
  <c r="O43" i="21"/>
  <c r="K434" i="21"/>
  <c r="P165" i="21"/>
  <c r="O657" i="21"/>
  <c r="P134" i="21"/>
  <c r="M132" i="21"/>
  <c r="P132" i="21" s="1"/>
  <c r="P121" i="21"/>
  <c r="M119" i="21"/>
  <c r="P119" i="21" s="1"/>
  <c r="O21" i="21"/>
  <c r="O279" i="18"/>
  <c r="O422" i="21"/>
  <c r="M402" i="21"/>
  <c r="P402" i="21" s="1"/>
  <c r="L88" i="21"/>
  <c r="O88" i="21" s="1"/>
  <c r="P43" i="21"/>
  <c r="O404" i="21"/>
  <c r="L402" i="21"/>
  <c r="O402" i="21" s="1"/>
  <c r="P23" i="21"/>
  <c r="M21" i="21"/>
  <c r="P21" i="21" s="1"/>
  <c r="L402" i="19"/>
  <c r="O402" i="19" s="1"/>
  <c r="P330" i="19"/>
  <c r="O55" i="20"/>
  <c r="L16" i="20"/>
  <c r="O16" i="20" s="1"/>
  <c r="L345" i="20"/>
  <c r="O345" i="20" s="1"/>
  <c r="M389" i="21"/>
  <c r="P389" i="21" s="1"/>
  <c r="L181" i="21"/>
  <c r="O181" i="21" s="1"/>
  <c r="L227" i="21"/>
  <c r="O43" i="16"/>
  <c r="P90" i="19"/>
  <c r="O90" i="19"/>
  <c r="K433" i="20"/>
  <c r="L165" i="21"/>
  <c r="O165" i="21" s="1"/>
  <c r="M789" i="18"/>
  <c r="P789" i="18" s="1"/>
  <c r="L685" i="21"/>
  <c r="O685" i="21" s="1"/>
  <c r="L544" i="21"/>
  <c r="O544" i="21" s="1"/>
  <c r="L41" i="21"/>
  <c r="O41" i="21" s="1"/>
  <c r="N20" i="21"/>
  <c r="N18" i="21" s="1"/>
  <c r="P167" i="16"/>
  <c r="M657" i="18"/>
  <c r="P657" i="18" s="1"/>
  <c r="M631" i="19"/>
  <c r="P631" i="19" s="1"/>
  <c r="L30" i="19"/>
  <c r="O30" i="19" s="1"/>
  <c r="O330" i="19"/>
  <c r="K364" i="19"/>
  <c r="O88" i="20"/>
  <c r="P277" i="21"/>
  <c r="P167" i="21"/>
  <c r="L149" i="18"/>
  <c r="O149" i="18" s="1"/>
  <c r="P90" i="20"/>
  <c r="M546" i="21"/>
  <c r="P549" i="21"/>
  <c r="M547" i="21"/>
  <c r="P547" i="21" s="1"/>
  <c r="K433" i="21"/>
  <c r="L419" i="21"/>
  <c r="K288" i="21"/>
  <c r="L34" i="21"/>
  <c r="O34" i="21" s="1"/>
  <c r="L30" i="21"/>
  <c r="L28" i="21" s="1"/>
  <c r="P658" i="21"/>
  <c r="K237" i="21"/>
  <c r="I226" i="21"/>
  <c r="M20" i="21"/>
  <c r="M16" i="21"/>
  <c r="P26" i="21"/>
  <c r="O26" i="21"/>
  <c r="L16" i="21"/>
  <c r="L24" i="21"/>
  <c r="L467" i="19"/>
  <c r="O467" i="19" s="1"/>
  <c r="M687" i="21"/>
  <c r="M688" i="21"/>
  <c r="P688" i="21" s="1"/>
  <c r="P690" i="21"/>
  <c r="P449" i="21"/>
  <c r="M447" i="21"/>
  <c r="P447" i="21" s="1"/>
  <c r="M446" i="21"/>
  <c r="M33" i="21"/>
  <c r="P15" i="21"/>
  <c r="L66" i="21"/>
  <c r="O66" i="21" s="1"/>
  <c r="O68" i="21"/>
  <c r="O29" i="21"/>
  <c r="P634" i="21"/>
  <c r="M631" i="21"/>
  <c r="M632" i="21"/>
  <c r="P632" i="21" s="1"/>
  <c r="P68" i="21"/>
  <c r="M66" i="21"/>
  <c r="P66" i="21" s="1"/>
  <c r="M9" i="21"/>
  <c r="P12" i="21"/>
  <c r="N16" i="21"/>
  <c r="N14" i="21" s="1"/>
  <c r="N24" i="21"/>
  <c r="O24" i="16"/>
  <c r="M632" i="19"/>
  <c r="P632" i="19" s="1"/>
  <c r="L419" i="19"/>
  <c r="O419" i="19" s="1"/>
  <c r="O149" i="19"/>
  <c r="O328" i="18"/>
  <c r="O348" i="19"/>
  <c r="L277" i="20"/>
  <c r="O277" i="20" s="1"/>
  <c r="N470" i="21"/>
  <c r="N469" i="21"/>
  <c r="P472" i="21"/>
  <c r="O472" i="21"/>
  <c r="N33" i="21"/>
  <c r="L315" i="21"/>
  <c r="O315" i="21" s="1"/>
  <c r="O317" i="21"/>
  <c r="O23" i="21"/>
  <c r="L20" i="21"/>
  <c r="L13" i="21"/>
  <c r="L149" i="21"/>
  <c r="O149" i="21" s="1"/>
  <c r="O151" i="21"/>
  <c r="K77" i="21"/>
  <c r="I65" i="21"/>
  <c r="K65" i="21" s="1"/>
  <c r="M24" i="21"/>
  <c r="O263" i="17"/>
  <c r="N24" i="20"/>
  <c r="O24" i="20" s="1"/>
  <c r="L523" i="21"/>
  <c r="O523" i="21" s="1"/>
  <c r="O525" i="21"/>
  <c r="P330" i="21"/>
  <c r="M328" i="21"/>
  <c r="P328" i="21" s="1"/>
  <c r="K417" i="21"/>
  <c r="I64" i="21"/>
  <c r="K64" i="21" s="1"/>
  <c r="K76" i="21"/>
  <c r="P149" i="21"/>
  <c r="P41" i="21"/>
  <c r="L132" i="21"/>
  <c r="O132" i="21" s="1"/>
  <c r="M298" i="21"/>
  <c r="N9" i="21"/>
  <c r="M525" i="18"/>
  <c r="P525" i="18" s="1"/>
  <c r="L227" i="20"/>
  <c r="O90" i="20"/>
  <c r="P88" i="20"/>
  <c r="O33" i="19"/>
  <c r="O56" i="20"/>
  <c r="O88" i="18"/>
  <c r="P687" i="13"/>
  <c r="L31" i="18"/>
  <c r="O31" i="18" s="1"/>
  <c r="P119" i="18"/>
  <c r="M658" i="18"/>
  <c r="P658" i="18" s="1"/>
  <c r="L328" i="19"/>
  <c r="O328" i="19" s="1"/>
  <c r="L132" i="19"/>
  <c r="O132" i="19" s="1"/>
  <c r="P91" i="20"/>
  <c r="M66" i="20"/>
  <c r="P66" i="20" s="1"/>
  <c r="K77" i="20"/>
  <c r="K434" i="20"/>
  <c r="L66" i="20"/>
  <c r="O66" i="20" s="1"/>
  <c r="L523" i="18"/>
  <c r="O523" i="18" s="1"/>
  <c r="L444" i="20"/>
  <c r="O444" i="20" s="1"/>
  <c r="O183" i="20"/>
  <c r="O121" i="20"/>
  <c r="L119" i="20"/>
  <c r="O119" i="20" s="1"/>
  <c r="P317" i="20"/>
  <c r="M315" i="20"/>
  <c r="P315" i="20" s="1"/>
  <c r="I131" i="16"/>
  <c r="K131" i="16" s="1"/>
  <c r="N13" i="16"/>
  <c r="N11" i="16" s="1"/>
  <c r="O183" i="17"/>
  <c r="P263" i="18"/>
  <c r="L277" i="19"/>
  <c r="O277" i="19" s="1"/>
  <c r="P328" i="19"/>
  <c r="M165" i="19"/>
  <c r="P165" i="19" s="1"/>
  <c r="O238" i="19"/>
  <c r="L13" i="20"/>
  <c r="L11" i="20" s="1"/>
  <c r="M149" i="20"/>
  <c r="P149" i="20" s="1"/>
  <c r="P151" i="20"/>
  <c r="P121" i="20"/>
  <c r="M119" i="20"/>
  <c r="P119" i="20" s="1"/>
  <c r="O330" i="20"/>
  <c r="N328" i="20"/>
  <c r="P328" i="20" s="1"/>
  <c r="P690" i="17"/>
  <c r="K785" i="18"/>
  <c r="M788" i="18"/>
  <c r="P788" i="18" s="1"/>
  <c r="L66" i="19"/>
  <c r="O66" i="19" s="1"/>
  <c r="P298" i="17"/>
  <c r="P55" i="20"/>
  <c r="M53" i="20"/>
  <c r="P53" i="20" s="1"/>
  <c r="M687" i="20"/>
  <c r="M688" i="20"/>
  <c r="P688" i="20" s="1"/>
  <c r="P690" i="20"/>
  <c r="O525" i="20"/>
  <c r="L523" i="20"/>
  <c r="O523" i="20" s="1"/>
  <c r="N181" i="20"/>
  <c r="O181" i="20" s="1"/>
  <c r="O330" i="18"/>
  <c r="P261" i="18"/>
  <c r="O44" i="19"/>
  <c r="M277" i="20"/>
  <c r="P277" i="20" s="1"/>
  <c r="P330" i="20"/>
  <c r="M422" i="20"/>
  <c r="P422" i="20" s="1"/>
  <c r="M421" i="20"/>
  <c r="M419" i="20" s="1"/>
  <c r="P424" i="20"/>
  <c r="O300" i="16"/>
  <c r="P181" i="17"/>
  <c r="P183" i="17"/>
  <c r="M422" i="19"/>
  <c r="P422" i="19" s="1"/>
  <c r="M315" i="19"/>
  <c r="P315" i="19" s="1"/>
  <c r="P19" i="20"/>
  <c r="L655" i="17"/>
  <c r="O655" i="17" s="1"/>
  <c r="M526" i="18"/>
  <c r="P526" i="18" s="1"/>
  <c r="O167" i="18"/>
  <c r="P183" i="19"/>
  <c r="K559" i="20"/>
  <c r="I543" i="20"/>
  <c r="K543" i="20" s="1"/>
  <c r="P549" i="20"/>
  <c r="M546" i="20"/>
  <c r="P546" i="20" s="1"/>
  <c r="M547" i="20"/>
  <c r="P547" i="20" s="1"/>
  <c r="M33" i="20"/>
  <c r="M13" i="20" s="1"/>
  <c r="M11" i="20" s="1"/>
  <c r="O15" i="20"/>
  <c r="L298" i="20"/>
  <c r="O298" i="20" s="1"/>
  <c r="N165" i="20"/>
  <c r="O165" i="20" s="1"/>
  <c r="I64" i="20"/>
  <c r="K64" i="20" s="1"/>
  <c r="K76" i="20"/>
  <c r="N20" i="20"/>
  <c r="N18" i="20" s="1"/>
  <c r="N13" i="20"/>
  <c r="N10" i="20" s="1"/>
  <c r="K248" i="20"/>
  <c r="I226" i="20"/>
  <c r="O23" i="20"/>
  <c r="N9" i="20"/>
  <c r="P26" i="20"/>
  <c r="M16" i="20"/>
  <c r="M24" i="20"/>
  <c r="P88" i="15"/>
  <c r="O121" i="18"/>
  <c r="M419" i="19"/>
  <c r="P419" i="19" s="1"/>
  <c r="O9" i="20"/>
  <c r="O469" i="20"/>
  <c r="L467" i="20"/>
  <c r="O467" i="20" s="1"/>
  <c r="P12" i="20"/>
  <c r="M9" i="20"/>
  <c r="N30" i="20"/>
  <c r="N28" i="20" s="1"/>
  <c r="O33" i="20"/>
  <c r="O29" i="20"/>
  <c r="P348" i="20"/>
  <c r="O348" i="20"/>
  <c r="N21" i="20"/>
  <c r="O21" i="20" s="1"/>
  <c r="O657" i="20"/>
  <c r="L655" i="20"/>
  <c r="O655" i="20" s="1"/>
  <c r="P183" i="20"/>
  <c r="M181" i="20"/>
  <c r="N31" i="20"/>
  <c r="O31" i="20" s="1"/>
  <c r="O26" i="20"/>
  <c r="I131" i="20"/>
  <c r="K131" i="20" s="1"/>
  <c r="K143" i="20"/>
  <c r="O68" i="17"/>
  <c r="P300" i="17"/>
  <c r="O421" i="20"/>
  <c r="N419" i="20"/>
  <c r="L261" i="20"/>
  <c r="O261" i="20" s="1"/>
  <c r="P23" i="20"/>
  <c r="M20" i="20"/>
  <c r="M21" i="20"/>
  <c r="P660" i="20"/>
  <c r="M657" i="20"/>
  <c r="M658" i="20"/>
  <c r="P658" i="20" s="1"/>
  <c r="O404" i="20"/>
  <c r="L402" i="20"/>
  <c r="O402" i="20" s="1"/>
  <c r="P263" i="20"/>
  <c r="M261" i="20"/>
  <c r="P261" i="20" s="1"/>
  <c r="M277" i="14"/>
  <c r="P277" i="14" s="1"/>
  <c r="P183" i="15"/>
  <c r="K559" i="15"/>
  <c r="I64" i="17"/>
  <c r="K64" i="17" s="1"/>
  <c r="P424" i="19"/>
  <c r="L315" i="19"/>
  <c r="O315" i="19" s="1"/>
  <c r="O41" i="20"/>
  <c r="O36" i="20"/>
  <c r="L34" i="20"/>
  <c r="O34" i="20" s="1"/>
  <c r="L30" i="20"/>
  <c r="O30" i="20" s="1"/>
  <c r="P545" i="20"/>
  <c r="P43" i="20"/>
  <c r="M41" i="20"/>
  <c r="M389" i="20"/>
  <c r="P389" i="20" s="1"/>
  <c r="P167" i="20"/>
  <c r="O657" i="16"/>
  <c r="O687" i="17"/>
  <c r="I131" i="18"/>
  <c r="K131" i="18" s="1"/>
  <c r="P165" i="17"/>
  <c r="O263" i="18"/>
  <c r="L629" i="19"/>
  <c r="O629" i="19" s="1"/>
  <c r="M16" i="18"/>
  <c r="P16" i="18" s="1"/>
  <c r="O788" i="18"/>
  <c r="P183" i="18"/>
  <c r="O183" i="19"/>
  <c r="K248" i="16"/>
  <c r="L544" i="17"/>
  <c r="O544" i="17" s="1"/>
  <c r="O331" i="18"/>
  <c r="P300" i="19"/>
  <c r="K433" i="19"/>
  <c r="O300" i="13"/>
  <c r="M149" i="15"/>
  <c r="P149" i="15" s="1"/>
  <c r="O152" i="19"/>
  <c r="M41" i="19"/>
  <c r="P41" i="19" s="1"/>
  <c r="P43" i="19"/>
  <c r="O165" i="18"/>
  <c r="I131" i="19"/>
  <c r="K131" i="19" s="1"/>
  <c r="K143" i="19"/>
  <c r="M402" i="19"/>
  <c r="P402" i="19" s="1"/>
  <c r="I65" i="16"/>
  <c r="K65" i="16" s="1"/>
  <c r="M421" i="18"/>
  <c r="M419" i="18" s="1"/>
  <c r="M422" i="18"/>
  <c r="P422" i="18" s="1"/>
  <c r="M149" i="18"/>
  <c r="P149" i="18" s="1"/>
  <c r="N24" i="18"/>
  <c r="O24" i="18" s="1"/>
  <c r="O26" i="18"/>
  <c r="M181" i="19"/>
  <c r="P181" i="19" s="1"/>
  <c r="I543" i="16"/>
  <c r="K543" i="16" s="1"/>
  <c r="P300" i="18"/>
  <c r="O151" i="19"/>
  <c r="L41" i="19"/>
  <c r="O41" i="19" s="1"/>
  <c r="P149" i="19"/>
  <c r="O36" i="19"/>
  <c r="L34" i="19"/>
  <c r="O34" i="19" s="1"/>
  <c r="P347" i="19"/>
  <c r="M345" i="19"/>
  <c r="P345" i="19" s="1"/>
  <c r="M66" i="16"/>
  <c r="P66" i="16" s="1"/>
  <c r="O168" i="16"/>
  <c r="I65" i="17"/>
  <c r="K65" i="17" s="1"/>
  <c r="P330" i="17"/>
  <c r="K364" i="18"/>
  <c r="O168" i="18"/>
  <c r="O90" i="18"/>
  <c r="K417" i="19"/>
  <c r="J592" i="19"/>
  <c r="K592" i="19" s="1"/>
  <c r="K593" i="19"/>
  <c r="I418" i="19"/>
  <c r="K418" i="19" s="1"/>
  <c r="K434" i="19"/>
  <c r="M88" i="19"/>
  <c r="P88" i="19" s="1"/>
  <c r="L345" i="19"/>
  <c r="O345" i="19" s="1"/>
  <c r="N24" i="19"/>
  <c r="N16" i="19"/>
  <c r="N14" i="19" s="1"/>
  <c r="L119" i="19"/>
  <c r="O119" i="19" s="1"/>
  <c r="O121" i="19"/>
  <c r="L53" i="19"/>
  <c r="O53" i="19" s="1"/>
  <c r="O328" i="17"/>
  <c r="O525" i="19"/>
  <c r="L523" i="19"/>
  <c r="O523" i="19" s="1"/>
  <c r="P279" i="19"/>
  <c r="M277" i="19"/>
  <c r="P277" i="19" s="1"/>
  <c r="O12" i="19"/>
  <c r="L9" i="19"/>
  <c r="P151" i="19"/>
  <c r="N261" i="19"/>
  <c r="P261" i="19" s="1"/>
  <c r="M687" i="19"/>
  <c r="M688" i="19"/>
  <c r="P688" i="19" s="1"/>
  <c r="P690" i="19"/>
  <c r="L165" i="19"/>
  <c r="O165" i="19" s="1"/>
  <c r="M53" i="19"/>
  <c r="P55" i="19"/>
  <c r="O263" i="19"/>
  <c r="L261" i="19"/>
  <c r="N20" i="19"/>
  <c r="N18" i="19" s="1"/>
  <c r="N13" i="19"/>
  <c r="N21" i="19"/>
  <c r="O21" i="19" s="1"/>
  <c r="P9" i="19"/>
  <c r="O687" i="19"/>
  <c r="L685" i="19"/>
  <c r="O685" i="19" s="1"/>
  <c r="P660" i="19"/>
  <c r="M657" i="19"/>
  <c r="M658" i="19"/>
  <c r="P658" i="19" s="1"/>
  <c r="P391" i="19"/>
  <c r="M389" i="19"/>
  <c r="P389" i="19" s="1"/>
  <c r="L298" i="19"/>
  <c r="O298" i="19" s="1"/>
  <c r="O300" i="19"/>
  <c r="P26" i="19"/>
  <c r="M16" i="19"/>
  <c r="M14" i="19" s="1"/>
  <c r="O446" i="19"/>
  <c r="L444" i="19"/>
  <c r="O444" i="19" s="1"/>
  <c r="M298" i="19"/>
  <c r="P298" i="19" s="1"/>
  <c r="L786" i="15"/>
  <c r="O786" i="15" s="1"/>
  <c r="O90" i="15"/>
  <c r="P88" i="18"/>
  <c r="I164" i="19"/>
  <c r="K164" i="19" s="1"/>
  <c r="K174" i="19"/>
  <c r="O23" i="19"/>
  <c r="L20" i="19"/>
  <c r="L13" i="19"/>
  <c r="L11" i="19" s="1"/>
  <c r="I65" i="19"/>
  <c r="K65" i="19" s="1"/>
  <c r="K77" i="19"/>
  <c r="I180" i="19"/>
  <c r="K180" i="19" s="1"/>
  <c r="K226" i="19"/>
  <c r="M20" i="19"/>
  <c r="P134" i="19"/>
  <c r="M132" i="19"/>
  <c r="P132" i="19" s="1"/>
  <c r="P449" i="19"/>
  <c r="M446" i="19"/>
  <c r="M447" i="19"/>
  <c r="P447" i="19" s="1"/>
  <c r="M33" i="19"/>
  <c r="P331" i="19"/>
  <c r="O331" i="19"/>
  <c r="L181" i="19"/>
  <c r="O181" i="19" s="1"/>
  <c r="M469" i="19"/>
  <c r="M470" i="19"/>
  <c r="P470" i="19" s="1"/>
  <c r="P472" i="19"/>
  <c r="N9" i="19"/>
  <c r="O19" i="19"/>
  <c r="O26" i="19"/>
  <c r="L16" i="19"/>
  <c r="L24" i="19"/>
  <c r="P68" i="19"/>
  <c r="M66" i="19"/>
  <c r="P66" i="19" s="1"/>
  <c r="P29" i="19"/>
  <c r="P15" i="19"/>
  <c r="P23" i="19"/>
  <c r="L88" i="19"/>
  <c r="O88" i="19" s="1"/>
  <c r="M24" i="19"/>
  <c r="O183" i="14"/>
  <c r="M631" i="16"/>
  <c r="P631" i="16" s="1"/>
  <c r="O183" i="15"/>
  <c r="O183" i="18"/>
  <c r="M181" i="18"/>
  <c r="P181" i="18" s="1"/>
  <c r="L66" i="18"/>
  <c r="O66" i="18" s="1"/>
  <c r="M132" i="16"/>
  <c r="P132" i="16" s="1"/>
  <c r="O184" i="17"/>
  <c r="P55" i="17"/>
  <c r="P279" i="17"/>
  <c r="L261" i="18"/>
  <c r="O261" i="18" s="1"/>
  <c r="L119" i="14"/>
  <c r="O119" i="14" s="1"/>
  <c r="L88" i="15"/>
  <c r="O88" i="15" s="1"/>
  <c r="O330" i="16"/>
  <c r="N20" i="16"/>
  <c r="N18" i="16" s="1"/>
  <c r="P69" i="17"/>
  <c r="M402" i="18"/>
  <c r="P402" i="18" s="1"/>
  <c r="L277" i="18"/>
  <c r="O277" i="18" s="1"/>
  <c r="M345" i="18"/>
  <c r="P345" i="18" s="1"/>
  <c r="P26" i="18"/>
  <c r="P43" i="15"/>
  <c r="M132" i="15"/>
  <c r="P132" i="15" s="1"/>
  <c r="P167" i="17"/>
  <c r="P263" i="17"/>
  <c r="O69" i="17"/>
  <c r="P351" i="18"/>
  <c r="O181" i="18"/>
  <c r="P90" i="18"/>
  <c r="L315" i="17"/>
  <c r="O315" i="17" s="1"/>
  <c r="P26" i="17"/>
  <c r="K76" i="18"/>
  <c r="I64" i="18"/>
  <c r="K64" i="18" s="1"/>
  <c r="P301" i="16"/>
  <c r="L66" i="17"/>
  <c r="O66" i="17" s="1"/>
  <c r="L402" i="18"/>
  <c r="O402" i="18" s="1"/>
  <c r="P121" i="18"/>
  <c r="L132" i="17"/>
  <c r="O132" i="17" s="1"/>
  <c r="L16" i="17"/>
  <c r="L14" i="17" s="1"/>
  <c r="O55" i="18"/>
  <c r="M66" i="18"/>
  <c r="P66" i="18" s="1"/>
  <c r="I65" i="18"/>
  <c r="K65" i="18" s="1"/>
  <c r="K77" i="18"/>
  <c r="O53" i="18"/>
  <c r="J522" i="18"/>
  <c r="K522" i="18" s="1"/>
  <c r="K537" i="18"/>
  <c r="P9" i="18"/>
  <c r="P167" i="13"/>
  <c r="O317" i="15"/>
  <c r="L88" i="16"/>
  <c r="O88" i="16" s="1"/>
  <c r="K226" i="16"/>
  <c r="M687" i="17"/>
  <c r="P687" i="17" s="1"/>
  <c r="M119" i="17"/>
  <c r="P119" i="17" s="1"/>
  <c r="L24" i="17"/>
  <c r="P545" i="18"/>
  <c r="K433" i="18"/>
  <c r="I417" i="18"/>
  <c r="K417" i="18" s="1"/>
  <c r="O421" i="18"/>
  <c r="L419" i="18"/>
  <c r="P318" i="18"/>
  <c r="O318" i="18"/>
  <c r="N414" i="18"/>
  <c r="L345" i="18"/>
  <c r="O345" i="18" s="1"/>
  <c r="O347" i="18"/>
  <c r="O317" i="18"/>
  <c r="P317" i="18"/>
  <c r="N315" i="18"/>
  <c r="O315" i="18" s="1"/>
  <c r="K288" i="18"/>
  <c r="M53" i="18"/>
  <c r="P53" i="18" s="1"/>
  <c r="P55" i="18"/>
  <c r="L34" i="18"/>
  <c r="O34" i="18" s="1"/>
  <c r="L16" i="18"/>
  <c r="O16" i="18" s="1"/>
  <c r="L30" i="18"/>
  <c r="O30" i="18" s="1"/>
  <c r="O36" i="18"/>
  <c r="M328" i="18"/>
  <c r="P328" i="18" s="1"/>
  <c r="P634" i="11"/>
  <c r="O55" i="15"/>
  <c r="P261" i="17"/>
  <c r="P90" i="17"/>
  <c r="M389" i="17"/>
  <c r="P389" i="17" s="1"/>
  <c r="L21" i="18"/>
  <c r="O21" i="18" s="1"/>
  <c r="O23" i="18"/>
  <c r="L20" i="18"/>
  <c r="L13" i="18"/>
  <c r="L11" i="18" s="1"/>
  <c r="L227" i="17"/>
  <c r="O391" i="18"/>
  <c r="L389" i="18"/>
  <c r="O389" i="18" s="1"/>
  <c r="O119" i="18"/>
  <c r="P125" i="18"/>
  <c r="O125" i="18"/>
  <c r="P23" i="18"/>
  <c r="M20" i="18"/>
  <c r="M21" i="18"/>
  <c r="P21" i="18" s="1"/>
  <c r="M41" i="18"/>
  <c r="O29" i="18"/>
  <c r="O184" i="14"/>
  <c r="O167" i="16"/>
  <c r="O687" i="18"/>
  <c r="L685" i="18"/>
  <c r="O685" i="18" s="1"/>
  <c r="L629" i="18"/>
  <c r="O629" i="18" s="1"/>
  <c r="O631" i="18"/>
  <c r="M389" i="18"/>
  <c r="P389" i="18" s="1"/>
  <c r="P391" i="18"/>
  <c r="O184" i="18"/>
  <c r="P167" i="18"/>
  <c r="M165" i="18"/>
  <c r="P165" i="18" s="1"/>
  <c r="O12" i="18"/>
  <c r="L9" i="18"/>
  <c r="O238" i="18"/>
  <c r="L227" i="18"/>
  <c r="P298" i="15"/>
  <c r="O279" i="17"/>
  <c r="L444" i="18"/>
  <c r="O444" i="18" s="1"/>
  <c r="O446" i="18"/>
  <c r="M469" i="18"/>
  <c r="P472" i="18"/>
  <c r="M470" i="18"/>
  <c r="P470" i="18" s="1"/>
  <c r="M33" i="18"/>
  <c r="I418" i="18"/>
  <c r="K418" i="18" s="1"/>
  <c r="K434" i="18"/>
  <c r="P29" i="18"/>
  <c r="K275" i="18"/>
  <c r="P91" i="18"/>
  <c r="O91" i="18"/>
  <c r="O134" i="18"/>
  <c r="L132" i="18"/>
  <c r="N20" i="18"/>
  <c r="N18" i="18" s="1"/>
  <c r="N13" i="18"/>
  <c r="M547" i="18"/>
  <c r="P547" i="18" s="1"/>
  <c r="M546" i="18"/>
  <c r="P546" i="18" s="1"/>
  <c r="P549" i="18"/>
  <c r="M631" i="18"/>
  <c r="P634" i="18"/>
  <c r="M632" i="18"/>
  <c r="P632" i="18" s="1"/>
  <c r="K237" i="18"/>
  <c r="I226" i="18"/>
  <c r="P15" i="18"/>
  <c r="O15" i="18"/>
  <c r="O264" i="17"/>
  <c r="M632" i="11"/>
  <c r="P632" i="11" s="1"/>
  <c r="P43" i="11"/>
  <c r="P43" i="14"/>
  <c r="P263" i="15"/>
  <c r="L315" i="16"/>
  <c r="O315" i="16" s="1"/>
  <c r="O546" i="15"/>
  <c r="O261" i="17"/>
  <c r="P277" i="17"/>
  <c r="O43" i="14"/>
  <c r="M298" i="14"/>
  <c r="P298" i="14" s="1"/>
  <c r="P472" i="14"/>
  <c r="L277" i="14"/>
  <c r="O277" i="14" s="1"/>
  <c r="M119" i="14"/>
  <c r="P119" i="14" s="1"/>
  <c r="M328" i="17"/>
  <c r="P328" i="17" s="1"/>
  <c r="L20" i="17"/>
  <c r="L18" i="17" s="1"/>
  <c r="L419" i="17"/>
  <c r="O419" i="17" s="1"/>
  <c r="O55" i="14"/>
  <c r="L389" i="15"/>
  <c r="O389" i="15" s="1"/>
  <c r="M315" i="16"/>
  <c r="P315" i="16" s="1"/>
  <c r="N165" i="16"/>
  <c r="P165" i="16" s="1"/>
  <c r="K275" i="17"/>
  <c r="N149" i="17"/>
  <c r="P149" i="17" s="1"/>
  <c r="M24" i="17"/>
  <c r="O330" i="17"/>
  <c r="P24" i="16"/>
  <c r="O23" i="17"/>
  <c r="L13" i="17"/>
  <c r="P330" i="13"/>
  <c r="L181" i="15"/>
  <c r="O181" i="15" s="1"/>
  <c r="L277" i="15"/>
  <c r="O277" i="15" s="1"/>
  <c r="O347" i="14"/>
  <c r="O91" i="16"/>
  <c r="N261" i="16"/>
  <c r="P261" i="16" s="1"/>
  <c r="O36" i="16"/>
  <c r="M315" i="17"/>
  <c r="P315" i="17" s="1"/>
  <c r="O55" i="17"/>
  <c r="M132" i="17"/>
  <c r="P132" i="17" s="1"/>
  <c r="L31" i="17"/>
  <c r="O31" i="17" s="1"/>
  <c r="L165" i="17"/>
  <c r="O165" i="17" s="1"/>
  <c r="M402" i="17"/>
  <c r="P402" i="17" s="1"/>
  <c r="P404" i="17"/>
  <c r="M119" i="12"/>
  <c r="P119" i="12" s="1"/>
  <c r="P330" i="15"/>
  <c r="L389" i="17"/>
  <c r="O389" i="17" s="1"/>
  <c r="L345" i="17"/>
  <c r="O345" i="17" s="1"/>
  <c r="N88" i="17"/>
  <c r="P88" i="17" s="1"/>
  <c r="L402" i="17"/>
  <c r="O402" i="17" s="1"/>
  <c r="P300" i="13"/>
  <c r="P279" i="15"/>
  <c r="L786" i="16"/>
  <c r="O786" i="16" s="1"/>
  <c r="P280" i="16"/>
  <c r="K288" i="17"/>
  <c r="O469" i="17"/>
  <c r="L467" i="17"/>
  <c r="O467" i="17" s="1"/>
  <c r="M632" i="17"/>
  <c r="P632" i="17" s="1"/>
  <c r="M631" i="17"/>
  <c r="K364" i="16"/>
  <c r="N16" i="16"/>
  <c r="N14" i="16" s="1"/>
  <c r="L277" i="17"/>
  <c r="O277" i="17" s="1"/>
  <c r="L30" i="17"/>
  <c r="P351" i="17"/>
  <c r="P9" i="17"/>
  <c r="N24" i="13"/>
  <c r="N9" i="17"/>
  <c r="N21" i="17"/>
  <c r="O21" i="17" s="1"/>
  <c r="M422" i="12"/>
  <c r="P422" i="12" s="1"/>
  <c r="P424" i="12"/>
  <c r="P152" i="13"/>
  <c r="K433" i="14"/>
  <c r="P168" i="16"/>
  <c r="O263" i="16"/>
  <c r="O446" i="17"/>
  <c r="L444" i="17"/>
  <c r="O444" i="17" s="1"/>
  <c r="N16" i="17"/>
  <c r="O26" i="17"/>
  <c r="N24" i="17"/>
  <c r="O301" i="17"/>
  <c r="N41" i="17"/>
  <c r="O43" i="17"/>
  <c r="P29" i="17"/>
  <c r="P152" i="17"/>
  <c r="O330" i="15"/>
  <c r="P90" i="15"/>
  <c r="L30" i="16"/>
  <c r="L28" i="16" s="1"/>
  <c r="O28" i="16" s="1"/>
  <c r="P348" i="16"/>
  <c r="M467" i="17"/>
  <c r="P467" i="17" s="1"/>
  <c r="P469" i="17"/>
  <c r="P545" i="17"/>
  <c r="O525" i="17"/>
  <c r="L523" i="17"/>
  <c r="O523" i="17" s="1"/>
  <c r="L181" i="17"/>
  <c r="O181" i="17" s="1"/>
  <c r="K433" i="17"/>
  <c r="J417" i="17"/>
  <c r="K417" i="17" s="1"/>
  <c r="K559" i="17"/>
  <c r="I543" i="17"/>
  <c r="K543" i="17" s="1"/>
  <c r="P660" i="17"/>
  <c r="M657" i="17"/>
  <c r="M658" i="17"/>
  <c r="P658" i="17" s="1"/>
  <c r="K174" i="17"/>
  <c r="I164" i="17"/>
  <c r="K164" i="17" s="1"/>
  <c r="M14" i="17"/>
  <c r="P15" i="17"/>
  <c r="P68" i="17"/>
  <c r="M66" i="17"/>
  <c r="P66" i="17" s="1"/>
  <c r="O151" i="17"/>
  <c r="L149" i="17"/>
  <c r="K434" i="17"/>
  <c r="I418" i="17"/>
  <c r="K418" i="17" s="1"/>
  <c r="P347" i="17"/>
  <c r="M345" i="17"/>
  <c r="P345" i="17" s="1"/>
  <c r="P23" i="17"/>
  <c r="M21" i="17"/>
  <c r="M20" i="17"/>
  <c r="O53" i="17"/>
  <c r="O90" i="17"/>
  <c r="L88" i="17"/>
  <c r="N20" i="17"/>
  <c r="N18" i="17" s="1"/>
  <c r="N13" i="17"/>
  <c r="N11" i="17" s="1"/>
  <c r="O263" i="13"/>
  <c r="P421" i="17"/>
  <c r="M419" i="17"/>
  <c r="K237" i="17"/>
  <c r="I226" i="17"/>
  <c r="P449" i="17"/>
  <c r="M446" i="17"/>
  <c r="M447" i="17"/>
  <c r="P447" i="17" s="1"/>
  <c r="M33" i="17"/>
  <c r="J364" i="17"/>
  <c r="K364" i="17" s="1"/>
  <c r="K365" i="17"/>
  <c r="L119" i="17"/>
  <c r="O119" i="17" s="1"/>
  <c r="O121" i="17"/>
  <c r="M53" i="17"/>
  <c r="P53" i="17" s="1"/>
  <c r="O12" i="17"/>
  <c r="L9" i="17"/>
  <c r="P43" i="17"/>
  <c r="M41" i="17"/>
  <c r="P547" i="11"/>
  <c r="P421" i="12"/>
  <c r="I417" i="14"/>
  <c r="K417" i="14" s="1"/>
  <c r="L298" i="16"/>
  <c r="O298" i="16" s="1"/>
  <c r="O687" i="16"/>
  <c r="O55" i="16"/>
  <c r="O151" i="16"/>
  <c r="N261" i="13"/>
  <c r="O261" i="13" s="1"/>
  <c r="O165" i="15"/>
  <c r="O263" i="12"/>
  <c r="L345" i="14"/>
  <c r="O345" i="14" s="1"/>
  <c r="I418" i="15"/>
  <c r="K418" i="15" s="1"/>
  <c r="L444" i="15"/>
  <c r="O444" i="15" s="1"/>
  <c r="L402" i="15"/>
  <c r="O402" i="15" s="1"/>
  <c r="L544" i="16"/>
  <c r="O544" i="16" s="1"/>
  <c r="K364" i="15"/>
  <c r="L34" i="15"/>
  <c r="O34" i="15" s="1"/>
  <c r="O167" i="15"/>
  <c r="O41" i="14"/>
  <c r="O404" i="11"/>
  <c r="M629" i="15"/>
  <c r="P629" i="15" s="1"/>
  <c r="P41" i="16"/>
  <c r="P300" i="16"/>
  <c r="M298" i="16"/>
  <c r="P298" i="16" s="1"/>
  <c r="O121" i="16"/>
  <c r="L119" i="16"/>
  <c r="O119" i="16" s="1"/>
  <c r="O181" i="16"/>
  <c r="L165" i="16"/>
  <c r="P328" i="13"/>
  <c r="M389" i="14"/>
  <c r="P389" i="14" s="1"/>
  <c r="L523" i="15"/>
  <c r="O523" i="15" s="1"/>
  <c r="O421" i="15"/>
  <c r="O184" i="16"/>
  <c r="P404" i="16"/>
  <c r="M402" i="16"/>
  <c r="P402" i="16" s="1"/>
  <c r="P23" i="14"/>
  <c r="P44" i="13"/>
  <c r="P347" i="14"/>
  <c r="O525" i="14"/>
  <c r="P165" i="14"/>
  <c r="P634" i="15"/>
  <c r="M389" i="15"/>
  <c r="P389" i="15" s="1"/>
  <c r="O688" i="16"/>
  <c r="L227" i="16"/>
  <c r="K417" i="11"/>
  <c r="M315" i="11"/>
  <c r="P315" i="11" s="1"/>
  <c r="P151" i="12"/>
  <c r="M41" i="14"/>
  <c r="P41" i="14" s="1"/>
  <c r="I418" i="14"/>
  <c r="K418" i="14" s="1"/>
  <c r="O348" i="14"/>
  <c r="M632" i="15"/>
  <c r="P632" i="15" s="1"/>
  <c r="O263" i="15"/>
  <c r="L655" i="15"/>
  <c r="O655" i="15" s="1"/>
  <c r="O183" i="16"/>
  <c r="P391" i="16"/>
  <c r="M389" i="16"/>
  <c r="P389" i="16" s="1"/>
  <c r="O631" i="16"/>
  <c r="L629" i="16"/>
  <c r="O629" i="16" s="1"/>
  <c r="L31" i="16"/>
  <c r="O31" i="16" s="1"/>
  <c r="O421" i="14"/>
  <c r="O469" i="14"/>
  <c r="O328" i="15"/>
  <c r="L629" i="15"/>
  <c r="O629" i="15" s="1"/>
  <c r="N261" i="15"/>
  <c r="O261" i="15" s="1"/>
  <c r="P347" i="15"/>
  <c r="N328" i="16"/>
  <c r="O328" i="16" s="1"/>
  <c r="K288" i="16"/>
  <c r="L389" i="16"/>
  <c r="O389" i="16" s="1"/>
  <c r="O391" i="16"/>
  <c r="M687" i="16"/>
  <c r="P690" i="16"/>
  <c r="N414" i="16"/>
  <c r="O419" i="16"/>
  <c r="L523" i="16"/>
  <c r="O523" i="16" s="1"/>
  <c r="L444" i="16"/>
  <c r="L402" i="16"/>
  <c r="O402" i="16" s="1"/>
  <c r="P183" i="16"/>
  <c r="M181" i="16"/>
  <c r="P181" i="16" s="1"/>
  <c r="P55" i="16"/>
  <c r="M53" i="16"/>
  <c r="P345" i="16"/>
  <c r="P151" i="16"/>
  <c r="P23" i="16"/>
  <c r="M20" i="16"/>
  <c r="O23" i="16"/>
  <c r="L20" i="16"/>
  <c r="L13" i="16"/>
  <c r="L11" i="16" s="1"/>
  <c r="L21" i="16"/>
  <c r="O21" i="16" s="1"/>
  <c r="O134" i="16"/>
  <c r="L132" i="16"/>
  <c r="O132" i="16" s="1"/>
  <c r="M21" i="16"/>
  <c r="P21" i="16" s="1"/>
  <c r="M66" i="15"/>
  <c r="P66" i="15" s="1"/>
  <c r="O421" i="16"/>
  <c r="P549" i="16"/>
  <c r="M546" i="16"/>
  <c r="M547" i="16"/>
  <c r="P547" i="16" s="1"/>
  <c r="O331" i="16"/>
  <c r="P331" i="16"/>
  <c r="P90" i="16"/>
  <c r="M88" i="16"/>
  <c r="P88" i="16" s="1"/>
  <c r="L66" i="16"/>
  <c r="O66" i="16" s="1"/>
  <c r="M9" i="16"/>
  <c r="P12" i="16"/>
  <c r="O261" i="12"/>
  <c r="P424" i="14"/>
  <c r="P347" i="16"/>
  <c r="N149" i="16"/>
  <c r="O149" i="16" s="1"/>
  <c r="P330" i="16"/>
  <c r="P121" i="16"/>
  <c r="M119" i="16"/>
  <c r="P119" i="16" s="1"/>
  <c r="P279" i="16"/>
  <c r="M277" i="16"/>
  <c r="P277" i="16" s="1"/>
  <c r="O347" i="16"/>
  <c r="O26" i="16"/>
  <c r="L16" i="16"/>
  <c r="O41" i="16"/>
  <c r="P19" i="16"/>
  <c r="O19" i="16"/>
  <c r="L277" i="16"/>
  <c r="O277" i="16" s="1"/>
  <c r="O279" i="16"/>
  <c r="J417" i="16"/>
  <c r="K417" i="16" s="1"/>
  <c r="K433" i="16"/>
  <c r="P424" i="16"/>
  <c r="M421" i="16"/>
  <c r="M422" i="16"/>
  <c r="P422" i="16" s="1"/>
  <c r="M33" i="16"/>
  <c r="K434" i="16"/>
  <c r="I418" i="16"/>
  <c r="K418" i="16" s="1"/>
  <c r="M469" i="16"/>
  <c r="P472" i="16"/>
  <c r="M470" i="16"/>
  <c r="P470" i="16" s="1"/>
  <c r="O345" i="16"/>
  <c r="O12" i="16"/>
  <c r="L9" i="16"/>
  <c r="P121" i="15"/>
  <c r="M119" i="15"/>
  <c r="P119" i="15" s="1"/>
  <c r="P26" i="16"/>
  <c r="M16" i="16"/>
  <c r="L34" i="14"/>
  <c r="O34" i="14" s="1"/>
  <c r="P688" i="16"/>
  <c r="O59" i="16"/>
  <c r="N53" i="16"/>
  <c r="P421" i="14"/>
  <c r="M419" i="14"/>
  <c r="P419" i="14" s="1"/>
  <c r="P264" i="14"/>
  <c r="M422" i="14"/>
  <c r="P422" i="14" s="1"/>
  <c r="M315" i="15"/>
  <c r="P315" i="15" s="1"/>
  <c r="N53" i="15"/>
  <c r="O53" i="15" s="1"/>
  <c r="P300" i="15"/>
  <c r="O21" i="15"/>
  <c r="O121" i="15"/>
  <c r="L119" i="15"/>
  <c r="O119" i="15" s="1"/>
  <c r="P23" i="15"/>
  <c r="L655" i="13"/>
  <c r="O655" i="13" s="1"/>
  <c r="M33" i="15"/>
  <c r="M13" i="15" s="1"/>
  <c r="I65" i="15"/>
  <c r="K65" i="15" s="1"/>
  <c r="O168" i="15"/>
  <c r="O298" i="15"/>
  <c r="M402" i="13"/>
  <c r="P402" i="13" s="1"/>
  <c r="M470" i="14"/>
  <c r="P470" i="14" s="1"/>
  <c r="M467" i="14"/>
  <c r="I65" i="14"/>
  <c r="K65" i="14" s="1"/>
  <c r="P328" i="15"/>
  <c r="O347" i="15"/>
  <c r="L345" i="15"/>
  <c r="P44" i="14"/>
  <c r="P549" i="15"/>
  <c r="M546" i="15"/>
  <c r="M389" i="12"/>
  <c r="P389" i="12" s="1"/>
  <c r="O134" i="13"/>
  <c r="O300" i="15"/>
  <c r="O151" i="15"/>
  <c r="L149" i="15"/>
  <c r="O149" i="15" s="1"/>
  <c r="M41" i="15"/>
  <c r="P41" i="15" s="1"/>
  <c r="M447" i="15"/>
  <c r="P447" i="15" s="1"/>
  <c r="P449" i="15"/>
  <c r="M446" i="15"/>
  <c r="P424" i="15"/>
  <c r="M421" i="15"/>
  <c r="O33" i="15"/>
  <c r="L31" i="15"/>
  <c r="O31" i="15" s="1"/>
  <c r="L30" i="15"/>
  <c r="L66" i="12"/>
  <c r="O66" i="12" s="1"/>
  <c r="O183" i="13"/>
  <c r="O470" i="14"/>
  <c r="I131" i="14"/>
  <c r="K131" i="14" s="1"/>
  <c r="O264" i="15"/>
  <c r="P404" i="15"/>
  <c r="M402" i="15"/>
  <c r="P402" i="15" s="1"/>
  <c r="P55" i="15"/>
  <c r="N345" i="15"/>
  <c r="P345" i="15" s="1"/>
  <c r="M389" i="13"/>
  <c r="P389" i="13" s="1"/>
  <c r="K237" i="15"/>
  <c r="I226" i="15"/>
  <c r="O43" i="15"/>
  <c r="L41" i="15"/>
  <c r="O26" i="15"/>
  <c r="L16" i="15"/>
  <c r="L24" i="15"/>
  <c r="O90" i="14"/>
  <c r="O330" i="13"/>
  <c r="M467" i="15"/>
  <c r="M181" i="15"/>
  <c r="P181" i="15" s="1"/>
  <c r="O134" i="15"/>
  <c r="L132" i="15"/>
  <c r="O132" i="15" s="1"/>
  <c r="L132" i="14"/>
  <c r="O132" i="14" s="1"/>
  <c r="J417" i="15"/>
  <c r="K417" i="15" s="1"/>
  <c r="K433" i="15"/>
  <c r="O238" i="15"/>
  <c r="L227" i="15"/>
  <c r="P21" i="15"/>
  <c r="L629" i="12"/>
  <c r="O629" i="12" s="1"/>
  <c r="L30" i="14"/>
  <c r="O30" i="14" s="1"/>
  <c r="L402" i="14"/>
  <c r="O402" i="14" s="1"/>
  <c r="N20" i="15"/>
  <c r="N18" i="15" s="1"/>
  <c r="N13" i="15"/>
  <c r="M24" i="15"/>
  <c r="M16" i="15"/>
  <c r="P26" i="15"/>
  <c r="O68" i="15"/>
  <c r="L66" i="15"/>
  <c r="O66" i="15" s="1"/>
  <c r="P19" i="15"/>
  <c r="P9" i="15"/>
  <c r="P167" i="15"/>
  <c r="M165" i="15"/>
  <c r="N24" i="15"/>
  <c r="N16" i="15"/>
  <c r="N14" i="15" s="1"/>
  <c r="O12" i="15"/>
  <c r="L9" i="15"/>
  <c r="O23" i="15"/>
  <c r="L20" i="15"/>
  <c r="L13" i="15"/>
  <c r="K76" i="13"/>
  <c r="P391" i="11"/>
  <c r="L298" i="14"/>
  <c r="O298" i="14" s="1"/>
  <c r="P263" i="14"/>
  <c r="P422" i="15"/>
  <c r="P301" i="15"/>
  <c r="O301" i="15"/>
  <c r="M20" i="15"/>
  <c r="M18" i="15" s="1"/>
  <c r="L685" i="15"/>
  <c r="O19" i="15"/>
  <c r="K364" i="12"/>
  <c r="P68" i="13"/>
  <c r="O347" i="13"/>
  <c r="O151" i="14"/>
  <c r="P168" i="14"/>
  <c r="O391" i="14"/>
  <c r="L389" i="14"/>
  <c r="O389" i="14" s="1"/>
  <c r="O167" i="14"/>
  <c r="L328" i="13"/>
  <c r="O328" i="13" s="1"/>
  <c r="N14" i="14"/>
  <c r="O165" i="14"/>
  <c r="N261" i="14"/>
  <c r="P261" i="14" s="1"/>
  <c r="M66" i="14"/>
  <c r="P66" i="14" s="1"/>
  <c r="L419" i="12"/>
  <c r="O419" i="12" s="1"/>
  <c r="P330" i="12"/>
  <c r="O263" i="14"/>
  <c r="L181" i="14"/>
  <c r="O181" i="14" s="1"/>
  <c r="P43" i="12"/>
  <c r="P167" i="14"/>
  <c r="M315" i="12"/>
  <c r="P315" i="12" s="1"/>
  <c r="N24" i="14"/>
  <c r="O24" i="14" s="1"/>
  <c r="O446" i="14"/>
  <c r="L444" i="14"/>
  <c r="O444" i="14" s="1"/>
  <c r="M328" i="12"/>
  <c r="P328" i="12" s="1"/>
  <c r="P472" i="12"/>
  <c r="P183" i="12"/>
  <c r="L181" i="13"/>
  <c r="O181" i="13" s="1"/>
  <c r="L444" i="13"/>
  <c r="O444" i="13" s="1"/>
  <c r="N149" i="14"/>
  <c r="O149" i="14" s="1"/>
  <c r="L88" i="14"/>
  <c r="O88" i="14" s="1"/>
  <c r="O631" i="14"/>
  <c r="L629" i="14"/>
  <c r="O629" i="14" s="1"/>
  <c r="O687" i="13"/>
  <c r="P351" i="14"/>
  <c r="O41" i="12"/>
  <c r="L261" i="14"/>
  <c r="O261" i="14" s="1"/>
  <c r="P264" i="13"/>
  <c r="L315" i="14"/>
  <c r="O315" i="14" s="1"/>
  <c r="O264" i="12"/>
  <c r="O134" i="12"/>
  <c r="P330" i="14"/>
  <c r="P690" i="14"/>
  <c r="M688" i="14"/>
  <c r="P688" i="14" s="1"/>
  <c r="M687" i="14"/>
  <c r="M132" i="14"/>
  <c r="P132" i="14" s="1"/>
  <c r="O184" i="12"/>
  <c r="M132" i="13"/>
  <c r="P132" i="13" s="1"/>
  <c r="O331" i="14"/>
  <c r="L227" i="14"/>
  <c r="P151" i="14"/>
  <c r="O91" i="14"/>
  <c r="P183" i="14"/>
  <c r="M181" i="14"/>
  <c r="P181" i="14" s="1"/>
  <c r="O29" i="14"/>
  <c r="N24" i="11"/>
  <c r="M469" i="12"/>
  <c r="P469" i="12" s="1"/>
  <c r="L523" i="12"/>
  <c r="O523" i="12" s="1"/>
  <c r="P26" i="13"/>
  <c r="P660" i="14"/>
  <c r="M657" i="14"/>
  <c r="M658" i="14"/>
  <c r="P658" i="14" s="1"/>
  <c r="P55" i="14"/>
  <c r="M53" i="14"/>
  <c r="L16" i="14"/>
  <c r="O26" i="14"/>
  <c r="N53" i="14"/>
  <c r="M24" i="12"/>
  <c r="O351" i="13"/>
  <c r="P545" i="14"/>
  <c r="K248" i="14"/>
  <c r="I226" i="14"/>
  <c r="K559" i="14"/>
  <c r="I543" i="14"/>
  <c r="K543" i="14" s="1"/>
  <c r="K364" i="14"/>
  <c r="M16" i="14"/>
  <c r="P16" i="14" s="1"/>
  <c r="P26" i="14"/>
  <c r="M24" i="14"/>
  <c r="M20" i="14"/>
  <c r="N20" i="14"/>
  <c r="N18" i="14" s="1"/>
  <c r="N13" i="14"/>
  <c r="N10" i="14" s="1"/>
  <c r="O43" i="12"/>
  <c r="M20" i="12"/>
  <c r="M18" i="12" s="1"/>
  <c r="P317" i="14"/>
  <c r="M315" i="14"/>
  <c r="P315" i="14" s="1"/>
  <c r="O330" i="14"/>
  <c r="N328" i="14"/>
  <c r="O328" i="14" s="1"/>
  <c r="M328" i="14"/>
  <c r="O68" i="14"/>
  <c r="L66" i="14"/>
  <c r="P90" i="14"/>
  <c r="M88" i="14"/>
  <c r="P88" i="14" s="1"/>
  <c r="P15" i="14"/>
  <c r="P263" i="11"/>
  <c r="L277" i="12"/>
  <c r="O277" i="12" s="1"/>
  <c r="O167" i="13"/>
  <c r="O55" i="13"/>
  <c r="M402" i="14"/>
  <c r="P402" i="14" s="1"/>
  <c r="L20" i="14"/>
  <c r="L13" i="14"/>
  <c r="L21" i="14"/>
  <c r="O23" i="14"/>
  <c r="P29" i="14"/>
  <c r="N467" i="14"/>
  <c r="M345" i="14"/>
  <c r="P345" i="14" s="1"/>
  <c r="P12" i="14"/>
  <c r="M9" i="14"/>
  <c r="K76" i="14"/>
  <c r="I64" i="14"/>
  <c r="K64" i="14" s="1"/>
  <c r="N9" i="14"/>
  <c r="O347" i="11"/>
  <c r="N132" i="12"/>
  <c r="O132" i="12" s="1"/>
  <c r="L119" i="13"/>
  <c r="O119" i="13" s="1"/>
  <c r="O44" i="13"/>
  <c r="O544" i="14"/>
  <c r="P549" i="14"/>
  <c r="M546" i="14"/>
  <c r="P546" i="14" s="1"/>
  <c r="M547" i="14"/>
  <c r="P547" i="14" s="1"/>
  <c r="M33" i="14"/>
  <c r="O9" i="14"/>
  <c r="P19" i="14"/>
  <c r="N31" i="14"/>
  <c r="O31" i="14" s="1"/>
  <c r="O33" i="14"/>
  <c r="N21" i="14"/>
  <c r="P21" i="14" s="1"/>
  <c r="O41" i="13"/>
  <c r="P41" i="13"/>
  <c r="O138" i="12"/>
  <c r="P181" i="12"/>
  <c r="L544" i="13"/>
  <c r="O544" i="13" s="1"/>
  <c r="I164" i="13"/>
  <c r="K164" i="13" s="1"/>
  <c r="L165" i="13"/>
  <c r="M119" i="13"/>
  <c r="P119" i="13" s="1"/>
  <c r="M24" i="13"/>
  <c r="M20" i="13"/>
  <c r="M18" i="13" s="1"/>
  <c r="N165" i="13"/>
  <c r="P165" i="13" s="1"/>
  <c r="P43" i="13"/>
  <c r="O151" i="13"/>
  <c r="K131" i="12"/>
  <c r="O43" i="13"/>
  <c r="O348" i="11"/>
  <c r="I226" i="13"/>
  <c r="K226" i="13" s="1"/>
  <c r="M16" i="13"/>
  <c r="P16" i="13" s="1"/>
  <c r="O331" i="13"/>
  <c r="K77" i="13"/>
  <c r="I65" i="13"/>
  <c r="K65" i="13" s="1"/>
  <c r="P348" i="11"/>
  <c r="P300" i="12"/>
  <c r="P345" i="11"/>
  <c r="P55" i="13"/>
  <c r="M261" i="13"/>
  <c r="P263" i="13"/>
  <c r="L315" i="13"/>
  <c r="O315" i="13" s="1"/>
  <c r="O404" i="13"/>
  <c r="L402" i="13"/>
  <c r="O402" i="13" s="1"/>
  <c r="P53" i="13"/>
  <c r="O469" i="13"/>
  <c r="L467" i="13"/>
  <c r="O467" i="13" s="1"/>
  <c r="L419" i="13"/>
  <c r="O419" i="13" s="1"/>
  <c r="O421" i="13"/>
  <c r="O33" i="11"/>
  <c r="M298" i="12"/>
  <c r="P298" i="12" s="1"/>
  <c r="O328" i="12"/>
  <c r="N88" i="13"/>
  <c r="O88" i="13" s="1"/>
  <c r="O33" i="13"/>
  <c r="P347" i="13"/>
  <c r="K174" i="12"/>
  <c r="M315" i="13"/>
  <c r="P315" i="13" s="1"/>
  <c r="L389" i="13"/>
  <c r="O389" i="13" s="1"/>
  <c r="O391" i="13"/>
  <c r="M422" i="13"/>
  <c r="P422" i="13" s="1"/>
  <c r="M421" i="13"/>
  <c r="P424" i="13"/>
  <c r="M277" i="13"/>
  <c r="P277" i="13" s="1"/>
  <c r="P347" i="11"/>
  <c r="M53" i="12"/>
  <c r="P53" i="12" s="1"/>
  <c r="N149" i="13"/>
  <c r="O149" i="13" s="1"/>
  <c r="L629" i="13"/>
  <c r="O629" i="13" s="1"/>
  <c r="O631" i="13"/>
  <c r="P21" i="13"/>
  <c r="O31" i="11"/>
  <c r="L30" i="13"/>
  <c r="O30" i="13" s="1"/>
  <c r="N345" i="13"/>
  <c r="P345" i="13" s="1"/>
  <c r="O36" i="13"/>
  <c r="L34" i="13"/>
  <c r="O34" i="13" s="1"/>
  <c r="I417" i="13"/>
  <c r="K417" i="13" s="1"/>
  <c r="K433" i="13"/>
  <c r="O279" i="13"/>
  <c r="L277" i="13"/>
  <c r="O277" i="13" s="1"/>
  <c r="P183" i="13"/>
  <c r="M181" i="13"/>
  <c r="P181" i="13" s="1"/>
  <c r="N9" i="13"/>
  <c r="O26" i="13"/>
  <c r="L16" i="13"/>
  <c r="O16" i="13" s="1"/>
  <c r="L24" i="13"/>
  <c r="P15" i="13"/>
  <c r="O68" i="13"/>
  <c r="L66" i="13"/>
  <c r="O66" i="13" s="1"/>
  <c r="P345" i="12"/>
  <c r="P184" i="12"/>
  <c r="P549" i="13"/>
  <c r="M547" i="13"/>
  <c r="P547" i="13" s="1"/>
  <c r="M33" i="13"/>
  <c r="M546" i="13"/>
  <c r="P546" i="13" s="1"/>
  <c r="L227" i="13"/>
  <c r="O238" i="13"/>
  <c r="L629" i="11"/>
  <c r="O629" i="11" s="1"/>
  <c r="M41" i="11"/>
  <c r="P41" i="11" s="1"/>
  <c r="K174" i="11"/>
  <c r="M21" i="12"/>
  <c r="O167" i="12"/>
  <c r="K143" i="12"/>
  <c r="L786" i="13"/>
  <c r="O786" i="13" s="1"/>
  <c r="I543" i="13"/>
  <c r="K543" i="13" s="1"/>
  <c r="K559" i="13"/>
  <c r="K434" i="13"/>
  <c r="I418" i="13"/>
  <c r="K418" i="13" s="1"/>
  <c r="O69" i="13"/>
  <c r="O29" i="13"/>
  <c r="K669" i="13"/>
  <c r="J654" i="13"/>
  <c r="K654" i="13" s="1"/>
  <c r="P29" i="13"/>
  <c r="I418" i="12"/>
  <c r="K418" i="12" s="1"/>
  <c r="P545" i="13"/>
  <c r="L523" i="13"/>
  <c r="O525" i="13"/>
  <c r="M298" i="13"/>
  <c r="P298" i="13" s="1"/>
  <c r="O15" i="13"/>
  <c r="N20" i="13"/>
  <c r="N13" i="13"/>
  <c r="N10" i="13" s="1"/>
  <c r="P90" i="13"/>
  <c r="M88" i="13"/>
  <c r="P23" i="13"/>
  <c r="P66" i="13"/>
  <c r="M9" i="13"/>
  <c r="L786" i="12"/>
  <c r="O786" i="12" s="1"/>
  <c r="P26" i="12"/>
  <c r="O9" i="13"/>
  <c r="O23" i="13"/>
  <c r="L20" i="13"/>
  <c r="L13" i="13"/>
  <c r="L21" i="13"/>
  <c r="O21" i="13" s="1"/>
  <c r="O53" i="13"/>
  <c r="M24" i="11"/>
  <c r="K434" i="11"/>
  <c r="M132" i="11"/>
  <c r="P132" i="11" s="1"/>
  <c r="P301" i="12"/>
  <c r="P138" i="12"/>
  <c r="P660" i="13"/>
  <c r="M658" i="13"/>
  <c r="P658" i="13" s="1"/>
  <c r="M657" i="13"/>
  <c r="P151" i="13"/>
  <c r="M149" i="13"/>
  <c r="P91" i="13"/>
  <c r="L298" i="13"/>
  <c r="O298" i="13" s="1"/>
  <c r="O183" i="11"/>
  <c r="M402" i="11"/>
  <c r="P402" i="11" s="1"/>
  <c r="L132" i="11"/>
  <c r="O132" i="11" s="1"/>
  <c r="P446" i="12"/>
  <c r="M447" i="12"/>
  <c r="P447" i="12" s="1"/>
  <c r="L34" i="12"/>
  <c r="O34" i="12" s="1"/>
  <c r="P263" i="12"/>
  <c r="O404" i="12"/>
  <c r="N165" i="12"/>
  <c r="P449" i="12"/>
  <c r="M149" i="12"/>
  <c r="P149" i="12" s="1"/>
  <c r="P44" i="11"/>
  <c r="M402" i="12"/>
  <c r="P402" i="12" s="1"/>
  <c r="K77" i="11"/>
  <c r="L34" i="11"/>
  <c r="O34" i="11" s="1"/>
  <c r="O330" i="12"/>
  <c r="P347" i="12"/>
  <c r="L53" i="12"/>
  <c r="O53" i="12" s="1"/>
  <c r="O300" i="12"/>
  <c r="L298" i="12"/>
  <c r="O298" i="12" s="1"/>
  <c r="L30" i="11"/>
  <c r="O30" i="11" s="1"/>
  <c r="M422" i="11"/>
  <c r="P422" i="11" s="1"/>
  <c r="L786" i="11"/>
  <c r="O786" i="11" s="1"/>
  <c r="P16" i="11"/>
  <c r="L467" i="12"/>
  <c r="O467" i="12" s="1"/>
  <c r="N24" i="12"/>
  <c r="O33" i="12"/>
  <c r="L31" i="12"/>
  <c r="O31" i="12" s="1"/>
  <c r="L30" i="12"/>
  <c r="O446" i="12"/>
  <c r="L444" i="12"/>
  <c r="O444" i="12" s="1"/>
  <c r="M687" i="12"/>
  <c r="M688" i="12"/>
  <c r="P688" i="12" s="1"/>
  <c r="P690" i="12"/>
  <c r="P167" i="12"/>
  <c r="O687" i="12"/>
  <c r="L685" i="12"/>
  <c r="O685" i="12" s="1"/>
  <c r="P330" i="11"/>
  <c r="O151" i="11"/>
  <c r="O181" i="12"/>
  <c r="P328" i="11"/>
  <c r="L315" i="12"/>
  <c r="O315" i="12" s="1"/>
  <c r="O183" i="12"/>
  <c r="O90" i="12"/>
  <c r="P16" i="12"/>
  <c r="P279" i="12"/>
  <c r="M277" i="12"/>
  <c r="P277" i="12" s="1"/>
  <c r="O41" i="11"/>
  <c r="K654" i="12"/>
  <c r="K433" i="12"/>
  <c r="I417" i="12"/>
  <c r="K417" i="12" s="1"/>
  <c r="P134" i="12"/>
  <c r="M132" i="12"/>
  <c r="P68" i="12"/>
  <c r="M66" i="12"/>
  <c r="P66" i="12" s="1"/>
  <c r="I64" i="12"/>
  <c r="K64" i="12" s="1"/>
  <c r="K76" i="12"/>
  <c r="P135" i="12"/>
  <c r="K77" i="12"/>
  <c r="I65" i="12"/>
  <c r="K65" i="12" s="1"/>
  <c r="L20" i="12"/>
  <c r="L13" i="12"/>
  <c r="O23" i="12"/>
  <c r="L544" i="11"/>
  <c r="O544" i="11" s="1"/>
  <c r="P660" i="12"/>
  <c r="M657" i="12"/>
  <c r="M658" i="12"/>
  <c r="P658" i="12" s="1"/>
  <c r="O238" i="12"/>
  <c r="L227" i="12"/>
  <c r="O15" i="12"/>
  <c r="L9" i="12"/>
  <c r="O546" i="12"/>
  <c r="L544" i="12"/>
  <c r="O544" i="12" s="1"/>
  <c r="N13" i="12"/>
  <c r="N10" i="12" s="1"/>
  <c r="N20" i="12"/>
  <c r="N414" i="12"/>
  <c r="P419" i="12"/>
  <c r="I180" i="12"/>
  <c r="K180" i="12" s="1"/>
  <c r="N9" i="12"/>
  <c r="O121" i="12"/>
  <c r="L119" i="12"/>
  <c r="O119" i="12" s="1"/>
  <c r="P12" i="12"/>
  <c r="M9" i="12"/>
  <c r="K559" i="12"/>
  <c r="I543" i="12"/>
  <c r="K543" i="12" s="1"/>
  <c r="P15" i="12"/>
  <c r="M14" i="12"/>
  <c r="P14" i="12" s="1"/>
  <c r="O347" i="12"/>
  <c r="L345" i="12"/>
  <c r="O345" i="12" s="1"/>
  <c r="P90" i="12"/>
  <c r="N88" i="12"/>
  <c r="O88" i="12" s="1"/>
  <c r="O391" i="12"/>
  <c r="L389" i="12"/>
  <c r="O389" i="12" s="1"/>
  <c r="P549" i="12"/>
  <c r="M546" i="12"/>
  <c r="P546" i="12" s="1"/>
  <c r="M547" i="12"/>
  <c r="P547" i="12" s="1"/>
  <c r="M33" i="12"/>
  <c r="N21" i="12"/>
  <c r="O21" i="12" s="1"/>
  <c r="P29" i="12"/>
  <c r="P545" i="12"/>
  <c r="O151" i="12"/>
  <c r="L149" i="12"/>
  <c r="O149" i="12" s="1"/>
  <c r="P23" i="12"/>
  <c r="P264" i="12"/>
  <c r="M41" i="12"/>
  <c r="P444" i="12"/>
  <c r="P261" i="12"/>
  <c r="L16" i="12"/>
  <c r="O16" i="12" s="1"/>
  <c r="O26" i="12"/>
  <c r="L277" i="11"/>
  <c r="O277" i="11" s="1"/>
  <c r="P26" i="11"/>
  <c r="L149" i="11"/>
  <c r="O149" i="11" s="1"/>
  <c r="M277" i="11"/>
  <c r="P277" i="11" s="1"/>
  <c r="O43" i="11"/>
  <c r="O330" i="11"/>
  <c r="P151" i="11"/>
  <c r="K559" i="11"/>
  <c r="I543" i="11"/>
  <c r="K543" i="11" s="1"/>
  <c r="L419" i="11"/>
  <c r="O419" i="11" s="1"/>
  <c r="P149" i="11"/>
  <c r="O328" i="11"/>
  <c r="K433" i="11"/>
  <c r="O317" i="11"/>
  <c r="L315" i="11"/>
  <c r="O315" i="11" s="1"/>
  <c r="O525" i="11"/>
  <c r="L523" i="11"/>
  <c r="O523" i="11" s="1"/>
  <c r="O657" i="11"/>
  <c r="L655" i="11"/>
  <c r="O655" i="11" s="1"/>
  <c r="M629" i="11"/>
  <c r="P629" i="11" s="1"/>
  <c r="P631" i="11"/>
  <c r="M421" i="11"/>
  <c r="M33" i="11"/>
  <c r="M261" i="11"/>
  <c r="P261" i="11" s="1"/>
  <c r="L389" i="11"/>
  <c r="O389" i="11" s="1"/>
  <c r="P168" i="11"/>
  <c r="O91" i="11"/>
  <c r="P55" i="11"/>
  <c r="P53" i="11"/>
  <c r="M20" i="11"/>
  <c r="M18" i="11" s="1"/>
  <c r="O167" i="11"/>
  <c r="N165" i="11"/>
  <c r="O165" i="11" s="1"/>
  <c r="P9" i="11"/>
  <c r="N9" i="11"/>
  <c r="O446" i="11"/>
  <c r="L444" i="11"/>
  <c r="O444" i="11" s="1"/>
  <c r="M66" i="11"/>
  <c r="P66" i="11" s="1"/>
  <c r="O26" i="11"/>
  <c r="L16" i="11"/>
  <c r="O55" i="11"/>
  <c r="L53" i="11"/>
  <c r="P546" i="11"/>
  <c r="N544" i="11"/>
  <c r="P544" i="11" s="1"/>
  <c r="M298" i="11"/>
  <c r="P298" i="11" s="1"/>
  <c r="K365" i="11"/>
  <c r="J364" i="11"/>
  <c r="K364" i="11" s="1"/>
  <c r="P15" i="11"/>
  <c r="M14" i="11"/>
  <c r="P14" i="11" s="1"/>
  <c r="P167" i="11"/>
  <c r="M165" i="11"/>
  <c r="I131" i="11"/>
  <c r="K131" i="11" s="1"/>
  <c r="K143" i="11"/>
  <c r="O23" i="11"/>
  <c r="L20" i="11"/>
  <c r="L18" i="11" s="1"/>
  <c r="L13" i="11"/>
  <c r="O184" i="11"/>
  <c r="P184" i="11"/>
  <c r="M88" i="11"/>
  <c r="P90" i="11"/>
  <c r="O19" i="11"/>
  <c r="O249" i="11"/>
  <c r="L227" i="11"/>
  <c r="O68" i="11"/>
  <c r="L66" i="11"/>
  <c r="O66" i="11" s="1"/>
  <c r="K76" i="11"/>
  <c r="I64" i="11"/>
  <c r="K64" i="11" s="1"/>
  <c r="I226" i="11"/>
  <c r="K226" i="11" s="1"/>
  <c r="K237" i="11"/>
  <c r="N13" i="11"/>
  <c r="N10" i="11" s="1"/>
  <c r="N20" i="11"/>
  <c r="N21" i="11"/>
  <c r="P21" i="11" s="1"/>
  <c r="P23" i="11"/>
  <c r="P183" i="11"/>
  <c r="N181" i="11"/>
  <c r="O181" i="11" s="1"/>
  <c r="L467" i="11"/>
  <c r="O467" i="11" s="1"/>
  <c r="O469" i="11"/>
  <c r="O90" i="11"/>
  <c r="N88" i="11"/>
  <c r="O88" i="11" s="1"/>
  <c r="L345" i="11"/>
  <c r="O345" i="11" s="1"/>
  <c r="O263" i="11"/>
  <c r="L261" i="11"/>
  <c r="O261" i="11" s="1"/>
  <c r="M119" i="11"/>
  <c r="P119" i="11" s="1"/>
  <c r="P121" i="11"/>
  <c r="O9" i="11"/>
  <c r="N414" i="11"/>
  <c r="L119" i="11"/>
  <c r="O119" i="11" s="1"/>
  <c r="O168" i="11"/>
  <c r="O300" i="11"/>
  <c r="L298" i="11"/>
  <c r="O298" i="11" s="1"/>
  <c r="O29" i="11"/>
  <c r="P29" i="11"/>
  <c r="L24" i="11"/>
  <c r="P421" i="21" l="1"/>
  <c r="M544" i="17"/>
  <c r="P544" i="17" s="1"/>
  <c r="O18" i="20"/>
  <c r="P20" i="16"/>
  <c r="L10" i="17"/>
  <c r="L8" i="17" s="1"/>
  <c r="P657" i="22"/>
  <c r="M655" i="22"/>
  <c r="P655" i="22" s="1"/>
  <c r="L28" i="19"/>
  <c r="O28" i="19" s="1"/>
  <c r="N37" i="22"/>
  <c r="P16" i="22"/>
  <c r="O20" i="16"/>
  <c r="P24" i="22"/>
  <c r="P261" i="22"/>
  <c r="P298" i="21"/>
  <c r="P546" i="22"/>
  <c r="M544" i="22"/>
  <c r="P544" i="22" s="1"/>
  <c r="M629" i="19"/>
  <c r="P629" i="19" s="1"/>
  <c r="O328" i="20"/>
  <c r="O88" i="17"/>
  <c r="L14" i="20"/>
  <c r="O14" i="20" s="1"/>
  <c r="O24" i="22"/>
  <c r="M14" i="22"/>
  <c r="P14" i="22" s="1"/>
  <c r="M467" i="12"/>
  <c r="P467" i="12" s="1"/>
  <c r="P24" i="20"/>
  <c r="N37" i="21"/>
  <c r="O261" i="21"/>
  <c r="P20" i="22"/>
  <c r="P21" i="22"/>
  <c r="O9" i="22"/>
  <c r="P9" i="22"/>
  <c r="N419" i="22"/>
  <c r="O421" i="22"/>
  <c r="P33" i="22"/>
  <c r="M30" i="22"/>
  <c r="M31" i="22"/>
  <c r="M13" i="22"/>
  <c r="N10" i="22"/>
  <c r="N8" i="22" s="1"/>
  <c r="N11" i="22"/>
  <c r="O11" i="22" s="1"/>
  <c r="L414" i="22"/>
  <c r="O53" i="22"/>
  <c r="L37" i="22"/>
  <c r="P18" i="22"/>
  <c r="K226" i="22"/>
  <c r="I180" i="22"/>
  <c r="K180" i="22" s="1"/>
  <c r="P16" i="21"/>
  <c r="O13" i="22"/>
  <c r="L10" i="22"/>
  <c r="L28" i="22"/>
  <c r="P421" i="22"/>
  <c r="M419" i="22"/>
  <c r="O18" i="22"/>
  <c r="M37" i="22"/>
  <c r="O16" i="22"/>
  <c r="L14" i="22"/>
  <c r="O14" i="22" s="1"/>
  <c r="N30" i="22"/>
  <c r="N28" i="22" s="1"/>
  <c r="N31" i="22"/>
  <c r="O31" i="22" s="1"/>
  <c r="O20" i="22"/>
  <c r="P21" i="20"/>
  <c r="P657" i="21"/>
  <c r="M655" i="21"/>
  <c r="P655" i="21" s="1"/>
  <c r="P421" i="20"/>
  <c r="L10" i="20"/>
  <c r="O10" i="20" s="1"/>
  <c r="M655" i="18"/>
  <c r="P655" i="18" s="1"/>
  <c r="M786" i="18"/>
  <c r="P786" i="18" s="1"/>
  <c r="M523" i="18"/>
  <c r="P523" i="18" s="1"/>
  <c r="L37" i="21"/>
  <c r="P24" i="18"/>
  <c r="M37" i="21"/>
  <c r="N10" i="16"/>
  <c r="N8" i="16" s="1"/>
  <c r="O24" i="21"/>
  <c r="I180" i="21"/>
  <c r="K180" i="21" s="1"/>
  <c r="K226" i="21"/>
  <c r="P24" i="21"/>
  <c r="N31" i="21"/>
  <c r="O31" i="21" s="1"/>
  <c r="N30" i="21"/>
  <c r="N28" i="21" s="1"/>
  <c r="N13" i="21"/>
  <c r="O13" i="21" s="1"/>
  <c r="O33" i="21"/>
  <c r="O16" i="21"/>
  <c r="L14" i="21"/>
  <c r="O14" i="21" s="1"/>
  <c r="P546" i="21"/>
  <c r="M544" i="21"/>
  <c r="P544" i="21" s="1"/>
  <c r="P419" i="21"/>
  <c r="L10" i="21"/>
  <c r="L11" i="21"/>
  <c r="P9" i="21"/>
  <c r="P631" i="21"/>
  <c r="M629" i="21"/>
  <c r="P629" i="21" s="1"/>
  <c r="M14" i="21"/>
  <c r="P14" i="21" s="1"/>
  <c r="O20" i="21"/>
  <c r="L18" i="21"/>
  <c r="O18" i="21" s="1"/>
  <c r="O419" i="21"/>
  <c r="L414" i="21"/>
  <c r="P469" i="21"/>
  <c r="O469" i="21"/>
  <c r="N467" i="21"/>
  <c r="O28" i="21"/>
  <c r="M30" i="21"/>
  <c r="P33" i="21"/>
  <c r="M13" i="21"/>
  <c r="M31" i="21"/>
  <c r="P687" i="21"/>
  <c r="M685" i="21"/>
  <c r="P685" i="21" s="1"/>
  <c r="P470" i="21"/>
  <c r="O470" i="21"/>
  <c r="P446" i="21"/>
  <c r="M444" i="21"/>
  <c r="P444" i="21" s="1"/>
  <c r="P20" i="21"/>
  <c r="M18" i="21"/>
  <c r="P18" i="21" s="1"/>
  <c r="O13" i="20"/>
  <c r="N8" i="20"/>
  <c r="P20" i="20"/>
  <c r="N11" i="20"/>
  <c r="O11" i="20" s="1"/>
  <c r="O20" i="20"/>
  <c r="N8" i="14"/>
  <c r="O30" i="16"/>
  <c r="M544" i="20"/>
  <c r="P544" i="20" s="1"/>
  <c r="P181" i="20"/>
  <c r="P687" i="20"/>
  <c r="M685" i="20"/>
  <c r="P685" i="20" s="1"/>
  <c r="M37" i="20"/>
  <c r="P41" i="20"/>
  <c r="N414" i="20"/>
  <c r="O419" i="20"/>
  <c r="K226" i="20"/>
  <c r="I180" i="20"/>
  <c r="K180" i="20" s="1"/>
  <c r="M18" i="20"/>
  <c r="P18" i="20" s="1"/>
  <c r="P16" i="20"/>
  <c r="M14" i="20"/>
  <c r="P14" i="20" s="1"/>
  <c r="P33" i="20"/>
  <c r="M30" i="20"/>
  <c r="M31" i="20"/>
  <c r="P31" i="20" s="1"/>
  <c r="P657" i="20"/>
  <c r="M655" i="20"/>
  <c r="P655" i="20" s="1"/>
  <c r="P165" i="20"/>
  <c r="P9" i="20"/>
  <c r="L414" i="20"/>
  <c r="O414" i="20" s="1"/>
  <c r="P419" i="20"/>
  <c r="P13" i="20"/>
  <c r="M10" i="20"/>
  <c r="P10" i="20" s="1"/>
  <c r="O261" i="16"/>
  <c r="O20" i="19"/>
  <c r="L37" i="20"/>
  <c r="L28" i="20"/>
  <c r="O28" i="20" s="1"/>
  <c r="N37" i="20"/>
  <c r="O165" i="16"/>
  <c r="M14" i="18"/>
  <c r="P14" i="18" s="1"/>
  <c r="N37" i="19"/>
  <c r="N10" i="19"/>
  <c r="N8" i="19" s="1"/>
  <c r="M629" i="16"/>
  <c r="P629" i="16" s="1"/>
  <c r="P14" i="19"/>
  <c r="P421" i="18"/>
  <c r="N11" i="19"/>
  <c r="O11" i="19" s="1"/>
  <c r="P16" i="19"/>
  <c r="O24" i="19"/>
  <c r="O24" i="13"/>
  <c r="O16" i="19"/>
  <c r="L14" i="19"/>
  <c r="O14" i="19" s="1"/>
  <c r="L414" i="19"/>
  <c r="O414" i="19" s="1"/>
  <c r="O261" i="19"/>
  <c r="L37" i="19"/>
  <c r="O9" i="19"/>
  <c r="P21" i="19"/>
  <c r="P24" i="19"/>
  <c r="L18" i="19"/>
  <c r="O18" i="19" s="1"/>
  <c r="O13" i="19"/>
  <c r="L10" i="19"/>
  <c r="P657" i="19"/>
  <c r="M655" i="19"/>
  <c r="P655" i="19" s="1"/>
  <c r="M30" i="19"/>
  <c r="P33" i="19"/>
  <c r="M31" i="19"/>
  <c r="P31" i="19" s="1"/>
  <c r="M13" i="19"/>
  <c r="P20" i="19"/>
  <c r="M18" i="19"/>
  <c r="P18" i="19" s="1"/>
  <c r="P53" i="19"/>
  <c r="M37" i="19"/>
  <c r="P261" i="15"/>
  <c r="P469" i="19"/>
  <c r="M467" i="19"/>
  <c r="P467" i="19" s="1"/>
  <c r="P149" i="14"/>
  <c r="P446" i="19"/>
  <c r="M444" i="19"/>
  <c r="P687" i="19"/>
  <c r="M685" i="19"/>
  <c r="P685" i="19" s="1"/>
  <c r="P24" i="13"/>
  <c r="L28" i="18"/>
  <c r="O28" i="18" s="1"/>
  <c r="P21" i="17"/>
  <c r="L28" i="14"/>
  <c r="O28" i="14" s="1"/>
  <c r="P467" i="14"/>
  <c r="L11" i="17"/>
  <c r="O11" i="17" s="1"/>
  <c r="O18" i="17"/>
  <c r="O24" i="17"/>
  <c r="P261" i="13"/>
  <c r="L14" i="18"/>
  <c r="O14" i="18" s="1"/>
  <c r="O9" i="18"/>
  <c r="L10" i="18"/>
  <c r="O13" i="18"/>
  <c r="O419" i="18"/>
  <c r="L414" i="18"/>
  <c r="O414" i="18" s="1"/>
  <c r="M685" i="17"/>
  <c r="P685" i="17" s="1"/>
  <c r="P315" i="18"/>
  <c r="P33" i="18"/>
  <c r="M30" i="18"/>
  <c r="M31" i="18"/>
  <c r="P31" i="18" s="1"/>
  <c r="M13" i="18"/>
  <c r="N37" i="18"/>
  <c r="O20" i="18"/>
  <c r="L18" i="18"/>
  <c r="O18" i="18" s="1"/>
  <c r="P419" i="18"/>
  <c r="O149" i="17"/>
  <c r="P631" i="18"/>
  <c r="M629" i="18"/>
  <c r="P629" i="18" s="1"/>
  <c r="N10" i="18"/>
  <c r="N8" i="18" s="1"/>
  <c r="N11" i="18"/>
  <c r="O11" i="18" s="1"/>
  <c r="P20" i="18"/>
  <c r="M18" i="18"/>
  <c r="P18" i="18" s="1"/>
  <c r="K226" i="18"/>
  <c r="I180" i="18"/>
  <c r="K180" i="18" s="1"/>
  <c r="O132" i="18"/>
  <c r="L37" i="18"/>
  <c r="P469" i="18"/>
  <c r="M467" i="18"/>
  <c r="P467" i="18" s="1"/>
  <c r="P41" i="18"/>
  <c r="M37" i="18"/>
  <c r="M544" i="18"/>
  <c r="P544" i="18" s="1"/>
  <c r="P149" i="16"/>
  <c r="O13" i="17"/>
  <c r="M629" i="17"/>
  <c r="P629" i="17" s="1"/>
  <c r="P631" i="17"/>
  <c r="O20" i="17"/>
  <c r="O30" i="17"/>
  <c r="L28" i="17"/>
  <c r="O28" i="17" s="1"/>
  <c r="M30" i="17"/>
  <c r="M31" i="17"/>
  <c r="P31" i="17" s="1"/>
  <c r="P33" i="17"/>
  <c r="P419" i="17"/>
  <c r="M13" i="17"/>
  <c r="M18" i="16"/>
  <c r="P18" i="16" s="1"/>
  <c r="P41" i="17"/>
  <c r="M37" i="17"/>
  <c r="P24" i="17"/>
  <c r="P20" i="17"/>
  <c r="M18" i="17"/>
  <c r="P18" i="17" s="1"/>
  <c r="P328" i="16"/>
  <c r="P446" i="17"/>
  <c r="M444" i="17"/>
  <c r="P444" i="17" s="1"/>
  <c r="N14" i="17"/>
  <c r="O14" i="17" s="1"/>
  <c r="P16" i="17"/>
  <c r="O16" i="17"/>
  <c r="O9" i="17"/>
  <c r="P657" i="17"/>
  <c r="M655" i="17"/>
  <c r="P655" i="17" s="1"/>
  <c r="K226" i="17"/>
  <c r="I180" i="17"/>
  <c r="K180" i="17" s="1"/>
  <c r="L37" i="17"/>
  <c r="L414" i="17"/>
  <c r="O414" i="17" s="1"/>
  <c r="O41" i="17"/>
  <c r="N37" i="17"/>
  <c r="N10" i="17"/>
  <c r="P687" i="16"/>
  <c r="M685" i="16"/>
  <c r="P685" i="16" s="1"/>
  <c r="O11" i="16"/>
  <c r="L18" i="16"/>
  <c r="O18" i="16" s="1"/>
  <c r="O345" i="15"/>
  <c r="O13" i="16"/>
  <c r="L10" i="16"/>
  <c r="P33" i="16"/>
  <c r="M30" i="16"/>
  <c r="M31" i="16"/>
  <c r="P31" i="16" s="1"/>
  <c r="N37" i="16"/>
  <c r="O53" i="16"/>
  <c r="L37" i="16"/>
  <c r="P421" i="16"/>
  <c r="M419" i="16"/>
  <c r="M13" i="16"/>
  <c r="P53" i="16"/>
  <c r="M37" i="16"/>
  <c r="O9" i="16"/>
  <c r="P469" i="16"/>
  <c r="M467" i="16"/>
  <c r="P467" i="16" s="1"/>
  <c r="O16" i="16"/>
  <c r="L14" i="16"/>
  <c r="O14" i="16" s="1"/>
  <c r="P546" i="16"/>
  <c r="M544" i="16"/>
  <c r="P544" i="16" s="1"/>
  <c r="P16" i="16"/>
  <c r="M14" i="16"/>
  <c r="P14" i="16" s="1"/>
  <c r="P9" i="16"/>
  <c r="O444" i="16"/>
  <c r="L414" i="16"/>
  <c r="O414" i="16" s="1"/>
  <c r="M30" i="15"/>
  <c r="P30" i="15" s="1"/>
  <c r="O24" i="15"/>
  <c r="P33" i="15"/>
  <c r="P53" i="15"/>
  <c r="N37" i="15"/>
  <c r="M31" i="15"/>
  <c r="P31" i="15" s="1"/>
  <c r="P24" i="15"/>
  <c r="P421" i="15"/>
  <c r="M419" i="15"/>
  <c r="P419" i="15" s="1"/>
  <c r="P446" i="15"/>
  <c r="M444" i="15"/>
  <c r="P444" i="15" s="1"/>
  <c r="L28" i="15"/>
  <c r="O28" i="15" s="1"/>
  <c r="O30" i="15"/>
  <c r="P24" i="14"/>
  <c r="P546" i="15"/>
  <c r="M544" i="15"/>
  <c r="P544" i="15" s="1"/>
  <c r="O685" i="15"/>
  <c r="L414" i="15"/>
  <c r="O414" i="15" s="1"/>
  <c r="O13" i="15"/>
  <c r="L10" i="15"/>
  <c r="P20" i="12"/>
  <c r="P20" i="15"/>
  <c r="O20" i="15"/>
  <c r="I180" i="15"/>
  <c r="K180" i="15" s="1"/>
  <c r="K226" i="15"/>
  <c r="M10" i="15"/>
  <c r="P13" i="15"/>
  <c r="M11" i="15"/>
  <c r="L11" i="15"/>
  <c r="P18" i="15"/>
  <c r="P16" i="15"/>
  <c r="M14" i="15"/>
  <c r="P14" i="15" s="1"/>
  <c r="O16" i="15"/>
  <c r="L14" i="15"/>
  <c r="O14" i="15" s="1"/>
  <c r="P24" i="12"/>
  <c r="O9" i="15"/>
  <c r="P165" i="15"/>
  <c r="M37" i="15"/>
  <c r="P24" i="11"/>
  <c r="L18" i="15"/>
  <c r="O18" i="15" s="1"/>
  <c r="N11" i="15"/>
  <c r="N10" i="15"/>
  <c r="N8" i="15" s="1"/>
  <c r="P467" i="15"/>
  <c r="L37" i="15"/>
  <c r="O41" i="15"/>
  <c r="L414" i="14"/>
  <c r="O414" i="14" s="1"/>
  <c r="I180" i="13"/>
  <c r="K180" i="13" s="1"/>
  <c r="M14" i="14"/>
  <c r="P14" i="14" s="1"/>
  <c r="P88" i="13"/>
  <c r="P328" i="14"/>
  <c r="P687" i="14"/>
  <c r="M685" i="14"/>
  <c r="P685" i="14" s="1"/>
  <c r="P20" i="11"/>
  <c r="P9" i="14"/>
  <c r="O53" i="14"/>
  <c r="N37" i="14"/>
  <c r="O24" i="11"/>
  <c r="P132" i="12"/>
  <c r="P20" i="13"/>
  <c r="K226" i="14"/>
  <c r="I180" i="14"/>
  <c r="K180" i="14" s="1"/>
  <c r="P657" i="14"/>
  <c r="M655" i="14"/>
  <c r="P655" i="14" s="1"/>
  <c r="O21" i="14"/>
  <c r="O66" i="14"/>
  <c r="L37" i="14"/>
  <c r="O16" i="14"/>
  <c r="L14" i="14"/>
  <c r="O14" i="14" s="1"/>
  <c r="N11" i="14"/>
  <c r="L10" i="14"/>
  <c r="O13" i="14"/>
  <c r="L11" i="14"/>
  <c r="M37" i="14"/>
  <c r="M544" i="14"/>
  <c r="P53" i="14"/>
  <c r="M30" i="14"/>
  <c r="P33" i="14"/>
  <c r="M31" i="14"/>
  <c r="P31" i="14" s="1"/>
  <c r="M13" i="14"/>
  <c r="N414" i="14"/>
  <c r="O467" i="14"/>
  <c r="O20" i="14"/>
  <c r="L18" i="14"/>
  <c r="O18" i="14" s="1"/>
  <c r="P20" i="14"/>
  <c r="M18" i="14"/>
  <c r="P18" i="14" s="1"/>
  <c r="P149" i="13"/>
  <c r="O165" i="13"/>
  <c r="M14" i="13"/>
  <c r="P14" i="13" s="1"/>
  <c r="N37" i="13"/>
  <c r="N18" i="13"/>
  <c r="P18" i="13" s="1"/>
  <c r="M419" i="13"/>
  <c r="P419" i="13" s="1"/>
  <c r="P421" i="13"/>
  <c r="O345" i="13"/>
  <c r="L28" i="13"/>
  <c r="O28" i="13" s="1"/>
  <c r="M37" i="13"/>
  <c r="O523" i="13"/>
  <c r="L414" i="13"/>
  <c r="O414" i="13" s="1"/>
  <c r="N18" i="12"/>
  <c r="P18" i="12" s="1"/>
  <c r="P88" i="12"/>
  <c r="P657" i="13"/>
  <c r="M655" i="13"/>
  <c r="P655" i="13" s="1"/>
  <c r="O13" i="13"/>
  <c r="L10" i="13"/>
  <c r="L11" i="13"/>
  <c r="P21" i="12"/>
  <c r="P9" i="13"/>
  <c r="P33" i="13"/>
  <c r="M30" i="13"/>
  <c r="M31" i="13"/>
  <c r="P31" i="13" s="1"/>
  <c r="M13" i="13"/>
  <c r="N37" i="12"/>
  <c r="L37" i="13"/>
  <c r="L14" i="13"/>
  <c r="O14" i="13" s="1"/>
  <c r="M544" i="13"/>
  <c r="N11" i="13"/>
  <c r="O20" i="13"/>
  <c r="L18" i="13"/>
  <c r="L28" i="11"/>
  <c r="O28" i="11" s="1"/>
  <c r="N8" i="13"/>
  <c r="P165" i="12"/>
  <c r="O165" i="12"/>
  <c r="N8" i="12"/>
  <c r="N11" i="12"/>
  <c r="P687" i="12"/>
  <c r="M685" i="12"/>
  <c r="P685" i="12" s="1"/>
  <c r="O30" i="12"/>
  <c r="L28" i="12"/>
  <c r="O28" i="12" s="1"/>
  <c r="O24" i="12"/>
  <c r="P41" i="12"/>
  <c r="M37" i="12"/>
  <c r="O21" i="11"/>
  <c r="P33" i="12"/>
  <c r="M30" i="12"/>
  <c r="M13" i="12"/>
  <c r="M31" i="12"/>
  <c r="P31" i="12" s="1"/>
  <c r="L14" i="12"/>
  <c r="O14" i="12" s="1"/>
  <c r="P657" i="12"/>
  <c r="M655" i="12"/>
  <c r="P655" i="12" s="1"/>
  <c r="L414" i="12"/>
  <c r="O414" i="12" s="1"/>
  <c r="P9" i="12"/>
  <c r="L10" i="12"/>
  <c r="O10" i="12" s="1"/>
  <c r="O13" i="12"/>
  <c r="L11" i="12"/>
  <c r="O20" i="12"/>
  <c r="L18" i="12"/>
  <c r="M544" i="12"/>
  <c r="O9" i="12"/>
  <c r="L37" i="12"/>
  <c r="P88" i="11"/>
  <c r="N37" i="11"/>
  <c r="P165" i="11"/>
  <c r="N8" i="11"/>
  <c r="P421" i="11"/>
  <c r="M419" i="11"/>
  <c r="L414" i="11"/>
  <c r="O414" i="11" s="1"/>
  <c r="P33" i="11"/>
  <c r="M31" i="11"/>
  <c r="P31" i="11" s="1"/>
  <c r="M13" i="11"/>
  <c r="P13" i="11" s="1"/>
  <c r="M30" i="11"/>
  <c r="M37" i="11"/>
  <c r="O13" i="11"/>
  <c r="L10" i="11"/>
  <c r="L11" i="11"/>
  <c r="N11" i="11"/>
  <c r="N18" i="11"/>
  <c r="P18" i="11" s="1"/>
  <c r="P181" i="11"/>
  <c r="O20" i="11"/>
  <c r="O53" i="11"/>
  <c r="L37" i="11"/>
  <c r="O16" i="11"/>
  <c r="L14" i="11"/>
  <c r="O14" i="11" s="1"/>
  <c r="P37" i="18" l="1"/>
  <c r="O37" i="22"/>
  <c r="P37" i="22"/>
  <c r="O10" i="17"/>
  <c r="O37" i="21"/>
  <c r="P37" i="21"/>
  <c r="L8" i="20"/>
  <c r="O8" i="20" s="1"/>
  <c r="O10" i="22"/>
  <c r="L8" i="22"/>
  <c r="O8" i="22" s="1"/>
  <c r="P13" i="22"/>
  <c r="M10" i="22"/>
  <c r="M11" i="22"/>
  <c r="P11" i="22" s="1"/>
  <c r="O414" i="22"/>
  <c r="P419" i="22"/>
  <c r="M414" i="22"/>
  <c r="P31" i="22"/>
  <c r="O28" i="22"/>
  <c r="O30" i="22"/>
  <c r="P30" i="22"/>
  <c r="M28" i="22"/>
  <c r="P28" i="22" s="1"/>
  <c r="N414" i="22"/>
  <c r="O419" i="22"/>
  <c r="O10" i="16"/>
  <c r="M414" i="21"/>
  <c r="P13" i="21"/>
  <c r="M10" i="21"/>
  <c r="M11" i="21"/>
  <c r="O30" i="21"/>
  <c r="O414" i="21"/>
  <c r="P30" i="21"/>
  <c r="M28" i="21"/>
  <c r="P28" i="21" s="1"/>
  <c r="N10" i="21"/>
  <c r="N8" i="21" s="1"/>
  <c r="N11" i="21"/>
  <c r="O11" i="21" s="1"/>
  <c r="P467" i="21"/>
  <c r="N414" i="21"/>
  <c r="O467" i="21"/>
  <c r="P31" i="21"/>
  <c r="L8" i="21"/>
  <c r="M414" i="20"/>
  <c r="P414" i="20" s="1"/>
  <c r="P11" i="20"/>
  <c r="O10" i="19"/>
  <c r="O37" i="19"/>
  <c r="O37" i="20"/>
  <c r="M8" i="20"/>
  <c r="P8" i="20" s="1"/>
  <c r="P30" i="20"/>
  <c r="M28" i="20"/>
  <c r="P28" i="20" s="1"/>
  <c r="P37" i="20"/>
  <c r="P37" i="19"/>
  <c r="L8" i="19"/>
  <c r="O8" i="19" s="1"/>
  <c r="P30" i="19"/>
  <c r="M28" i="19"/>
  <c r="P28" i="19" s="1"/>
  <c r="P444" i="19"/>
  <c r="M414" i="19"/>
  <c r="P414" i="19" s="1"/>
  <c r="P13" i="19"/>
  <c r="M10" i="19"/>
  <c r="M11" i="19"/>
  <c r="P11" i="19" s="1"/>
  <c r="P37" i="16"/>
  <c r="O10" i="18"/>
  <c r="P13" i="18"/>
  <c r="M10" i="18"/>
  <c r="M11" i="18"/>
  <c r="P11" i="18" s="1"/>
  <c r="O11" i="14"/>
  <c r="O37" i="18"/>
  <c r="M414" i="18"/>
  <c r="P414" i="18" s="1"/>
  <c r="P30" i="18"/>
  <c r="M28" i="18"/>
  <c r="P28" i="18" s="1"/>
  <c r="L8" i="18"/>
  <c r="O8" i="18" s="1"/>
  <c r="N8" i="17"/>
  <c r="O8" i="17" s="1"/>
  <c r="P14" i="17"/>
  <c r="P37" i="17"/>
  <c r="M11" i="17"/>
  <c r="P11" i="17" s="1"/>
  <c r="P13" i="17"/>
  <c r="M10" i="17"/>
  <c r="M414" i="17"/>
  <c r="P414" i="17" s="1"/>
  <c r="O37" i="17"/>
  <c r="P30" i="17"/>
  <c r="M28" i="17"/>
  <c r="P28" i="17" s="1"/>
  <c r="L8" i="16"/>
  <c r="O8" i="16" s="1"/>
  <c r="O37" i="12"/>
  <c r="P37" i="14"/>
  <c r="P30" i="16"/>
  <c r="M28" i="16"/>
  <c r="P28" i="16" s="1"/>
  <c r="O37" i="16"/>
  <c r="P13" i="16"/>
  <c r="M10" i="16"/>
  <c r="M11" i="16"/>
  <c r="P11" i="16" s="1"/>
  <c r="M414" i="16"/>
  <c r="P414" i="16" s="1"/>
  <c r="P419" i="16"/>
  <c r="M28" i="15"/>
  <c r="P28" i="15" s="1"/>
  <c r="P11" i="15"/>
  <c r="O37" i="15"/>
  <c r="M414" i="15"/>
  <c r="P414" i="15" s="1"/>
  <c r="P37" i="15"/>
  <c r="O10" i="15"/>
  <c r="O11" i="15"/>
  <c r="P10" i="15"/>
  <c r="M8" i="15"/>
  <c r="P8" i="15" s="1"/>
  <c r="L8" i="15"/>
  <c r="O8" i="15" s="1"/>
  <c r="O37" i="14"/>
  <c r="P30" i="14"/>
  <c r="M28" i="14"/>
  <c r="P28" i="14" s="1"/>
  <c r="O10" i="14"/>
  <c r="L8" i="14"/>
  <c r="O8" i="14" s="1"/>
  <c r="P544" i="14"/>
  <c r="M414" i="14"/>
  <c r="P414" i="14" s="1"/>
  <c r="M10" i="14"/>
  <c r="P13" i="14"/>
  <c r="M11" i="14"/>
  <c r="P11" i="14" s="1"/>
  <c r="O37" i="13"/>
  <c r="O18" i="12"/>
  <c r="O18" i="13"/>
  <c r="P37" i="13"/>
  <c r="L8" i="12"/>
  <c r="O8" i="12" s="1"/>
  <c r="O11" i="12"/>
  <c r="P37" i="12"/>
  <c r="P13" i="13"/>
  <c r="M10" i="13"/>
  <c r="M11" i="13"/>
  <c r="P11" i="13" s="1"/>
  <c r="O11" i="13"/>
  <c r="P544" i="13"/>
  <c r="M414" i="13"/>
  <c r="P414" i="13" s="1"/>
  <c r="P30" i="13"/>
  <c r="M28" i="13"/>
  <c r="P28" i="13" s="1"/>
  <c r="O10" i="13"/>
  <c r="L8" i="13"/>
  <c r="O8" i="13" s="1"/>
  <c r="P37" i="11"/>
  <c r="M10" i="12"/>
  <c r="P13" i="12"/>
  <c r="M11" i="12"/>
  <c r="P11" i="12" s="1"/>
  <c r="P30" i="12"/>
  <c r="M28" i="12"/>
  <c r="P28" i="12" s="1"/>
  <c r="O37" i="11"/>
  <c r="P544" i="12"/>
  <c r="M414" i="12"/>
  <c r="P414" i="12" s="1"/>
  <c r="O18" i="11"/>
  <c r="M414" i="11"/>
  <c r="P414" i="11" s="1"/>
  <c r="P419" i="11"/>
  <c r="P30" i="11"/>
  <c r="M28" i="11"/>
  <c r="P28" i="11" s="1"/>
  <c r="M10" i="11"/>
  <c r="M11" i="11"/>
  <c r="P11" i="11" s="1"/>
  <c r="O10" i="11"/>
  <c r="L8" i="11"/>
  <c r="O8" i="11" s="1"/>
  <c r="O11" i="11"/>
  <c r="O10" i="21" l="1"/>
  <c r="P10" i="22"/>
  <c r="M8" i="22"/>
  <c r="P8" i="22" s="1"/>
  <c r="P414" i="22"/>
  <c r="P414" i="21"/>
  <c r="O8" i="21"/>
  <c r="P11" i="21"/>
  <c r="P10" i="21"/>
  <c r="M8" i="21"/>
  <c r="P8" i="21" s="1"/>
  <c r="P10" i="19"/>
  <c r="M8" i="19"/>
  <c r="P8" i="19" s="1"/>
  <c r="P10" i="18"/>
  <c r="M8" i="18"/>
  <c r="P8" i="18" s="1"/>
  <c r="P10" i="17"/>
  <c r="M8" i="17"/>
  <c r="P8" i="17" s="1"/>
  <c r="P10" i="16"/>
  <c r="M8" i="16"/>
  <c r="P8" i="16" s="1"/>
  <c r="P10" i="14"/>
  <c r="M8" i="14"/>
  <c r="P8" i="14" s="1"/>
  <c r="P10" i="13"/>
  <c r="M8" i="13"/>
  <c r="P8" i="13" s="1"/>
  <c r="P10" i="12"/>
  <c r="M8" i="12"/>
  <c r="P8" i="12" s="1"/>
  <c r="P10" i="11"/>
  <c r="M8" i="11"/>
  <c r="P8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O791" i="10" s="1"/>
  <c r="P790" i="10"/>
  <c r="O790" i="10"/>
  <c r="P789" i="10"/>
  <c r="N789" i="10"/>
  <c r="M789" i="10"/>
  <c r="L789" i="10"/>
  <c r="O789" i="10" s="1"/>
  <c r="M788" i="10"/>
  <c r="P787" i="10"/>
  <c r="N787" i="10"/>
  <c r="N786" i="10" s="1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N690" i="10"/>
  <c r="N688" i="10" s="1"/>
  <c r="L690" i="10"/>
  <c r="O690" i="10" s="1"/>
  <c r="N687" i="10"/>
  <c r="N685" i="10" s="1"/>
  <c r="O686" i="10"/>
  <c r="N686" i="10"/>
  <c r="M686" i="10"/>
  <c r="L686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4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L660" i="10"/>
  <c r="L657" i="10" s="1"/>
  <c r="O657" i="10" s="1"/>
  <c r="P659" i="10"/>
  <c r="O659" i="10"/>
  <c r="P658" i="10"/>
  <c r="N658" i="10"/>
  <c r="M658" i="10"/>
  <c r="L658" i="10"/>
  <c r="O658" i="10" s="1"/>
  <c r="M657" i="10"/>
  <c r="P657" i="10" s="1"/>
  <c r="P656" i="10"/>
  <c r="N656" i="10"/>
  <c r="N655" i="10" s="1"/>
  <c r="M656" i="10"/>
  <c r="L656" i="10"/>
  <c r="O656" i="10" s="1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P634" i="10"/>
  <c r="N634" i="10"/>
  <c r="N631" i="10" s="1"/>
  <c r="L634" i="10"/>
  <c r="O634" i="10" s="1"/>
  <c r="P633" i="10"/>
  <c r="O633" i="10"/>
  <c r="P632" i="10"/>
  <c r="N632" i="10"/>
  <c r="M632" i="10"/>
  <c r="L632" i="10"/>
  <c r="O632" i="10" s="1"/>
  <c r="M631" i="10"/>
  <c r="P630" i="10"/>
  <c r="N630" i="10"/>
  <c r="N629" i="10" s="1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77" i="10" s="1"/>
  <c r="J582" i="10"/>
  <c r="I577" i="10"/>
  <c r="K577" i="10" s="1"/>
  <c r="J576" i="10"/>
  <c r="J559" i="10" s="1"/>
  <c r="J543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M555" i="10"/>
  <c r="N549" i="10"/>
  <c r="L549" i="10"/>
  <c r="P548" i="10"/>
  <c r="O548" i="10"/>
  <c r="N547" i="10"/>
  <c r="N546" i="10"/>
  <c r="P545" i="10"/>
  <c r="N545" i="10"/>
  <c r="N544" i="10" s="1"/>
  <c r="M545" i="10"/>
  <c r="L545" i="10"/>
  <c r="O545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O528" i="10" s="1"/>
  <c r="P527" i="10"/>
  <c r="O527" i="10"/>
  <c r="P526" i="10"/>
  <c r="N526" i="10"/>
  <c r="M526" i="10"/>
  <c r="M525" i="10"/>
  <c r="P524" i="10"/>
  <c r="N524" i="10"/>
  <c r="N523" i="10" s="1"/>
  <c r="M524" i="10"/>
  <c r="L524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P506" i="10"/>
  <c r="O506" i="10"/>
  <c r="P505" i="10"/>
  <c r="N505" i="10"/>
  <c r="M505" i="10"/>
  <c r="L505" i="10"/>
  <c r="O505" i="10" s="1"/>
  <c r="O504" i="10"/>
  <c r="M504" i="10"/>
  <c r="P504" i="10" s="1"/>
  <c r="L504" i="10"/>
  <c r="P503" i="10"/>
  <c r="N503" i="10"/>
  <c r="M503" i="10"/>
  <c r="L503" i="10"/>
  <c r="M502" i="10"/>
  <c r="P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P472" i="10"/>
  <c r="N472" i="10"/>
  <c r="N469" i="10" s="1"/>
  <c r="N467" i="10" s="1"/>
  <c r="L472" i="10"/>
  <c r="O472" i="10" s="1"/>
  <c r="P471" i="10"/>
  <c r="O471" i="10"/>
  <c r="P470" i="10"/>
  <c r="M470" i="10"/>
  <c r="P469" i="10"/>
  <c r="M469" i="10"/>
  <c r="P468" i="10"/>
  <c r="N468" i="10"/>
  <c r="M468" i="10"/>
  <c r="L468" i="10"/>
  <c r="M467" i="10"/>
  <c r="P467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I442" i="10" s="1"/>
  <c r="K442" i="10" s="1"/>
  <c r="K458" i="10"/>
  <c r="P456" i="10"/>
  <c r="L456" i="10"/>
  <c r="O456" i="10" s="1"/>
  <c r="P455" i="10"/>
  <c r="O455" i="10"/>
  <c r="N454" i="10"/>
  <c r="M454" i="10"/>
  <c r="P454" i="10" s="1"/>
  <c r="N449" i="10"/>
  <c r="L449" i="10"/>
  <c r="L447" i="10" s="1"/>
  <c r="O447" i="10" s="1"/>
  <c r="P448" i="10"/>
  <c r="O448" i="10"/>
  <c r="N447" i="10"/>
  <c r="N446" i="10"/>
  <c r="P445" i="10"/>
  <c r="N445" i="10"/>
  <c r="N444" i="10" s="1"/>
  <c r="M445" i="10"/>
  <c r="L445" i="10"/>
  <c r="J443" i="10"/>
  <c r="J442" i="10"/>
  <c r="I441" i="10"/>
  <c r="K441" i="10" s="1"/>
  <c r="I440" i="10"/>
  <c r="I439" i="10"/>
  <c r="K439" i="10" s="1"/>
  <c r="I438" i="10"/>
  <c r="K438" i="10" s="1"/>
  <c r="I437" i="10"/>
  <c r="K437" i="10" s="1"/>
  <c r="I435" i="10"/>
  <c r="J434" i="10"/>
  <c r="J418" i="10" s="1"/>
  <c r="P431" i="10"/>
  <c r="L431" i="10"/>
  <c r="P430" i="10"/>
  <c r="O430" i="10"/>
  <c r="N429" i="10"/>
  <c r="M429" i="10"/>
  <c r="P429" i="10" s="1"/>
  <c r="N424" i="10"/>
  <c r="L424" i="10"/>
  <c r="M424" i="10" s="1"/>
  <c r="M421" i="10" s="1"/>
  <c r="M419" i="10" s="1"/>
  <c r="P423" i="10"/>
  <c r="O423" i="10"/>
  <c r="N422" i="10"/>
  <c r="O420" i="10"/>
  <c r="N420" i="10"/>
  <c r="M420" i="10"/>
  <c r="P420" i="10" s="1"/>
  <c r="L420" i="10"/>
  <c r="K413" i="10"/>
  <c r="K412" i="10"/>
  <c r="N410" i="10"/>
  <c r="N408" i="10" s="1"/>
  <c r="M410" i="10"/>
  <c r="M408" i="10" s="1"/>
  <c r="P408" i="10" s="1"/>
  <c r="L410" i="10"/>
  <c r="O410" i="10" s="1"/>
  <c r="P409" i="10"/>
  <c r="O409" i="10"/>
  <c r="N407" i="10"/>
  <c r="M407" i="10"/>
  <c r="M405" i="10" s="1"/>
  <c r="P405" i="10" s="1"/>
  <c r="L407" i="10"/>
  <c r="O407" i="10" s="1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M397" i="10"/>
  <c r="L397" i="10"/>
  <c r="L395" i="10" s="1"/>
  <c r="O395" i="10" s="1"/>
  <c r="P396" i="10"/>
  <c r="O396" i="10"/>
  <c r="N394" i="10"/>
  <c r="N392" i="10" s="1"/>
  <c r="M394" i="10"/>
  <c r="M392" i="10" s="1"/>
  <c r="P392" i="10" s="1"/>
  <c r="L394" i="10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M351" i="10" s="1"/>
  <c r="L353" i="10"/>
  <c r="P352" i="10"/>
  <c r="O352" i="10"/>
  <c r="N350" i="10"/>
  <c r="N348" i="10" s="1"/>
  <c r="M350" i="10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L334" i="10" s="1"/>
  <c r="O334" i="10" s="1"/>
  <c r="P335" i="10"/>
  <c r="O335" i="10"/>
  <c r="N333" i="10"/>
  <c r="M333" i="10"/>
  <c r="L333" i="10"/>
  <c r="L331" i="10" s="1"/>
  <c r="P332" i="10"/>
  <c r="O332" i="10"/>
  <c r="O329" i="10"/>
  <c r="N329" i="10"/>
  <c r="M329" i="10"/>
  <c r="P329" i="10" s="1"/>
  <c r="L329" i="10"/>
  <c r="I327" i="10"/>
  <c r="I325" i="10"/>
  <c r="I314" i="10" s="1"/>
  <c r="K314" i="10" s="1"/>
  <c r="N323" i="10"/>
  <c r="N321" i="10" s="1"/>
  <c r="M323" i="10"/>
  <c r="P323" i="10" s="1"/>
  <c r="L323" i="10"/>
  <c r="P322" i="10"/>
  <c r="O322" i="10"/>
  <c r="N320" i="10"/>
  <c r="N318" i="10" s="1"/>
  <c r="M320" i="10"/>
  <c r="L320" i="10"/>
  <c r="L318" i="10" s="1"/>
  <c r="O318" i="10" s="1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N301" i="10" s="1"/>
  <c r="M303" i="10"/>
  <c r="M301" i="10" s="1"/>
  <c r="P301" i="10" s="1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I276" i="10" s="1"/>
  <c r="K276" i="10" s="1"/>
  <c r="N285" i="10"/>
  <c r="N283" i="10" s="1"/>
  <c r="M285" i="10"/>
  <c r="P285" i="10" s="1"/>
  <c r="L285" i="10"/>
  <c r="O285" i="10" s="1"/>
  <c r="P284" i="10"/>
  <c r="O284" i="10"/>
  <c r="N282" i="10"/>
  <c r="N280" i="10" s="1"/>
  <c r="M282" i="10"/>
  <c r="P282" i="10" s="1"/>
  <c r="L282" i="10"/>
  <c r="P281" i="10"/>
  <c r="O281" i="10"/>
  <c r="P278" i="10"/>
  <c r="O278" i="10"/>
  <c r="N278" i="10"/>
  <c r="M278" i="10"/>
  <c r="L278" i="10"/>
  <c r="J276" i="10"/>
  <c r="I275" i="10"/>
  <c r="K275" i="10" s="1"/>
  <c r="I271" i="10"/>
  <c r="K271" i="10" s="1"/>
  <c r="N269" i="10"/>
  <c r="N267" i="10" s="1"/>
  <c r="M269" i="10"/>
  <c r="M267" i="10" s="1"/>
  <c r="P267" i="10" s="1"/>
  <c r="L269" i="10"/>
  <c r="O269" i="10" s="1"/>
  <c r="P268" i="10"/>
  <c r="O268" i="10"/>
  <c r="N266" i="10"/>
  <c r="M266" i="10"/>
  <c r="M264" i="10" s="1"/>
  <c r="L266" i="10"/>
  <c r="P265" i="10"/>
  <c r="O265" i="10"/>
  <c r="P262" i="10"/>
  <c r="O262" i="10"/>
  <c r="N262" i="10"/>
  <c r="M262" i="10"/>
  <c r="L262" i="10"/>
  <c r="J260" i="10"/>
  <c r="K258" i="10"/>
  <c r="K257" i="10"/>
  <c r="K255" i="10"/>
  <c r="L253" i="10"/>
  <c r="L252" i="10"/>
  <c r="L251" i="10"/>
  <c r="L250" i="10"/>
  <c r="P249" i="10"/>
  <c r="N249" i="10"/>
  <c r="N227" i="10" s="1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J233" i="10"/>
  <c r="N231" i="10"/>
  <c r="N230" i="10"/>
  <c r="N229" i="10"/>
  <c r="N228" i="10"/>
  <c r="J226" i="10"/>
  <c r="I225" i="10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L184" i="10" s="1"/>
  <c r="P185" i="10"/>
  <c r="O185" i="10"/>
  <c r="N182" i="10"/>
  <c r="M182" i="10"/>
  <c r="P182" i="10" s="1"/>
  <c r="L182" i="10"/>
  <c r="O182" i="10" s="1"/>
  <c r="J180" i="10"/>
  <c r="J177" i="10"/>
  <c r="I176" i="10"/>
  <c r="I174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M168" i="10" s="1"/>
  <c r="L170" i="10"/>
  <c r="L168" i="10" s="1"/>
  <c r="P169" i="10"/>
  <c r="O169" i="10"/>
  <c r="N166" i="10"/>
  <c r="M166" i="10"/>
  <c r="P166" i="10" s="1"/>
  <c r="L166" i="10"/>
  <c r="O166" i="10" s="1"/>
  <c r="J164" i="10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M152" i="10" s="1"/>
  <c r="P152" i="10" s="1"/>
  <c r="L154" i="10"/>
  <c r="O154" i="10" s="1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K145" i="10" s="1"/>
  <c r="I144" i="10"/>
  <c r="N140" i="10"/>
  <c r="N138" i="10" s="1"/>
  <c r="M140" i="10"/>
  <c r="L140" i="10"/>
  <c r="L138" i="10" s="1"/>
  <c r="O138" i="10" s="1"/>
  <c r="P139" i="10"/>
  <c r="O139" i="10"/>
  <c r="N137" i="10"/>
  <c r="N135" i="10" s="1"/>
  <c r="M137" i="10"/>
  <c r="L137" i="10"/>
  <c r="L135" i="10" s="1"/>
  <c r="O135" i="10" s="1"/>
  <c r="P136" i="10"/>
  <c r="O136" i="10"/>
  <c r="N133" i="10"/>
  <c r="M133" i="10"/>
  <c r="L133" i="10"/>
  <c r="O133" i="10" s="1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M124" i="10"/>
  <c r="M122" i="10" s="1"/>
  <c r="P122" i="10" s="1"/>
  <c r="L124" i="10"/>
  <c r="P123" i="10"/>
  <c r="O123" i="10"/>
  <c r="P120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J98" i="10"/>
  <c r="I98" i="10"/>
  <c r="K98" i="10" s="1"/>
  <c r="N96" i="10"/>
  <c r="N94" i="10" s="1"/>
  <c r="M96" i="10"/>
  <c r="M94" i="10" s="1"/>
  <c r="P94" i="10" s="1"/>
  <c r="L96" i="10"/>
  <c r="O96" i="10" s="1"/>
  <c r="P95" i="10"/>
  <c r="O95" i="10"/>
  <c r="N93" i="10"/>
  <c r="N91" i="10" s="1"/>
  <c r="M93" i="10"/>
  <c r="M91" i="10" s="1"/>
  <c r="L93" i="10"/>
  <c r="L91" i="10" s="1"/>
  <c r="P92" i="10"/>
  <c r="O92" i="10"/>
  <c r="N89" i="10"/>
  <c r="M89" i="10"/>
  <c r="P89" i="10" s="1"/>
  <c r="L89" i="10"/>
  <c r="O89" i="10" s="1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J64" i="10" s="1"/>
  <c r="N74" i="10"/>
  <c r="N72" i="10" s="1"/>
  <c r="M74" i="10"/>
  <c r="L74" i="10"/>
  <c r="L72" i="10" s="1"/>
  <c r="O72" i="10" s="1"/>
  <c r="P73" i="10"/>
  <c r="O73" i="10"/>
  <c r="N71" i="10"/>
  <c r="N69" i="10" s="1"/>
  <c r="M71" i="10"/>
  <c r="L71" i="10"/>
  <c r="L69" i="10" s="1"/>
  <c r="O69" i="10" s="1"/>
  <c r="P70" i="10"/>
  <c r="O70" i="10"/>
  <c r="N67" i="10"/>
  <c r="M67" i="10"/>
  <c r="L67" i="10"/>
  <c r="J65" i="10"/>
  <c r="N61" i="10"/>
  <c r="N59" i="10" s="1"/>
  <c r="M61" i="10"/>
  <c r="M59" i="10" s="1"/>
  <c r="P59" i="10" s="1"/>
  <c r="L61" i="10"/>
  <c r="O61" i="10" s="1"/>
  <c r="P60" i="10"/>
  <c r="O60" i="10"/>
  <c r="N58" i="10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L49" i="10"/>
  <c r="L47" i="10" s="1"/>
  <c r="O47" i="10" s="1"/>
  <c r="P48" i="10"/>
  <c r="O48" i="10"/>
  <c r="N46" i="10"/>
  <c r="M46" i="10"/>
  <c r="L46" i="10"/>
  <c r="L44" i="10" s="1"/>
  <c r="P45" i="10"/>
  <c r="O45" i="10"/>
  <c r="N42" i="10"/>
  <c r="M42" i="10"/>
  <c r="L42" i="10"/>
  <c r="O42" i="10" s="1"/>
  <c r="P36" i="10"/>
  <c r="N36" i="10"/>
  <c r="M36" i="10"/>
  <c r="O35" i="10"/>
  <c r="N35" i="10"/>
  <c r="N29" i="10" s="1"/>
  <c r="M35" i="10"/>
  <c r="P35" i="10" s="1"/>
  <c r="L35" i="10"/>
  <c r="N34" i="10"/>
  <c r="P32" i="10"/>
  <c r="N32" i="10"/>
  <c r="M32" i="10"/>
  <c r="L32" i="10"/>
  <c r="M29" i="10"/>
  <c r="P29" i="10" s="1"/>
  <c r="P25" i="10"/>
  <c r="O25" i="10"/>
  <c r="N25" i="10"/>
  <c r="M25" i="10"/>
  <c r="L25" i="10"/>
  <c r="N22" i="10"/>
  <c r="M22" i="10"/>
  <c r="L22" i="10"/>
  <c r="O22" i="10" s="1"/>
  <c r="O15" i="10"/>
  <c r="N15" i="10"/>
  <c r="M15" i="10"/>
  <c r="P15" i="10" s="1"/>
  <c r="L15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N805" i="9" s="1"/>
  <c r="M806" i="9"/>
  <c r="L806" i="9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O796" i="9"/>
  <c r="N796" i="9"/>
  <c r="M796" i="9"/>
  <c r="P796" i="9" s="1"/>
  <c r="L796" i="9"/>
  <c r="P791" i="9"/>
  <c r="N791" i="9"/>
  <c r="L791" i="9"/>
  <c r="O791" i="9" s="1"/>
  <c r="P790" i="9"/>
  <c r="O790" i="9"/>
  <c r="P789" i="9"/>
  <c r="M789" i="9"/>
  <c r="M788" i="9"/>
  <c r="P788" i="9" s="1"/>
  <c r="P787" i="9"/>
  <c r="N787" i="9"/>
  <c r="M787" i="9"/>
  <c r="L787" i="9"/>
  <c r="M786" i="9"/>
  <c r="P786" i="9" s="1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M772" i="9"/>
  <c r="L772" i="9"/>
  <c r="O772" i="9" s="1"/>
  <c r="O771" i="9"/>
  <c r="N771" i="9"/>
  <c r="M771" i="9"/>
  <c r="L771" i="9"/>
  <c r="N770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M756" i="9"/>
  <c r="L756" i="9"/>
  <c r="O756" i="9" s="1"/>
  <c r="P755" i="9"/>
  <c r="O755" i="9"/>
  <c r="N755" i="9"/>
  <c r="M755" i="9"/>
  <c r="M754" i="9" s="1"/>
  <c r="P754" i="9" s="1"/>
  <c r="L755" i="9"/>
  <c r="O754" i="9"/>
  <c r="N754" i="9"/>
  <c r="L754" i="9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P738" i="9"/>
  <c r="O738" i="9"/>
  <c r="N738" i="9"/>
  <c r="M738" i="9"/>
  <c r="M737" i="9" s="1"/>
  <c r="L738" i="9"/>
  <c r="P737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N690" i="9"/>
  <c r="N688" i="9" s="1"/>
  <c r="L690" i="9"/>
  <c r="O690" i="9" s="1"/>
  <c r="N687" i="9"/>
  <c r="N685" i="9" s="1"/>
  <c r="P686" i="9"/>
  <c r="O686" i="9"/>
  <c r="N686" i="9"/>
  <c r="M686" i="9"/>
  <c r="L686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I654" i="9" s="1"/>
  <c r="K654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L660" i="9"/>
  <c r="L657" i="9" s="1"/>
  <c r="P659" i="9"/>
  <c r="O659" i="9"/>
  <c r="P658" i="9"/>
  <c r="N658" i="9"/>
  <c r="M658" i="9"/>
  <c r="M657" i="9"/>
  <c r="P657" i="9" s="1"/>
  <c r="N656" i="9"/>
  <c r="M656" i="9"/>
  <c r="P656" i="9" s="1"/>
  <c r="L656" i="9"/>
  <c r="O656" i="9" s="1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L632" i="9"/>
  <c r="O632" i="9" s="1"/>
  <c r="M631" i="9"/>
  <c r="P630" i="9"/>
  <c r="N630" i="9"/>
  <c r="M630" i="9"/>
  <c r="L630" i="9"/>
  <c r="N629" i="9"/>
  <c r="I628" i="9"/>
  <c r="K628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K594" i="9" s="1"/>
  <c r="I593" i="9"/>
  <c r="J583" i="9"/>
  <c r="J577" i="9" s="1"/>
  <c r="J582" i="9"/>
  <c r="I577" i="9"/>
  <c r="K577" i="9" s="1"/>
  <c r="J576" i="9"/>
  <c r="J559" i="9" s="1"/>
  <c r="J543" i="9" s="1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N545" i="9" s="1"/>
  <c r="M555" i="9"/>
  <c r="N549" i="9"/>
  <c r="L549" i="9"/>
  <c r="O549" i="9" s="1"/>
  <c r="P548" i="9"/>
  <c r="O548" i="9"/>
  <c r="N547" i="9"/>
  <c r="N546" i="9"/>
  <c r="P545" i="9"/>
  <c r="M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M526" i="9"/>
  <c r="M525" i="9"/>
  <c r="P524" i="9"/>
  <c r="N524" i="9"/>
  <c r="M524" i="9"/>
  <c r="L524" i="9"/>
  <c r="K517" i="9"/>
  <c r="J517" i="9"/>
  <c r="J501" i="9" s="1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L504" i="9"/>
  <c r="P503" i="9"/>
  <c r="N503" i="9"/>
  <c r="M503" i="9"/>
  <c r="L503" i="9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N477" i="9"/>
  <c r="M477" i="9"/>
  <c r="P477" i="9" s="1"/>
  <c r="P472" i="9"/>
  <c r="N472" i="9"/>
  <c r="N33" i="9" s="1"/>
  <c r="L472" i="9"/>
  <c r="O472" i="9" s="1"/>
  <c r="P471" i="9"/>
  <c r="O471" i="9"/>
  <c r="P470" i="9"/>
  <c r="M470" i="9"/>
  <c r="P469" i="9"/>
  <c r="M469" i="9"/>
  <c r="P468" i="9"/>
  <c r="O468" i="9"/>
  <c r="N468" i="9"/>
  <c r="M468" i="9"/>
  <c r="L468" i="9"/>
  <c r="M467" i="9"/>
  <c r="P467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O456" i="9" s="1"/>
  <c r="P455" i="9"/>
  <c r="O455" i="9"/>
  <c r="N454" i="9"/>
  <c r="M454" i="9"/>
  <c r="P454" i="9" s="1"/>
  <c r="P449" i="9"/>
  <c r="N449" i="9"/>
  <c r="L449" i="9"/>
  <c r="O449" i="9" s="1"/>
  <c r="P448" i="9"/>
  <c r="O448" i="9"/>
  <c r="N447" i="9"/>
  <c r="M447" i="9"/>
  <c r="P447" i="9" s="1"/>
  <c r="P446" i="9"/>
  <c r="N446" i="9"/>
  <c r="M446" i="9"/>
  <c r="P445" i="9"/>
  <c r="O445" i="9"/>
  <c r="N445" i="9"/>
  <c r="M445" i="9"/>
  <c r="M444" i="9" s="1"/>
  <c r="L445" i="9"/>
  <c r="P444" i="9"/>
  <c r="N444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J418" i="9" s="1"/>
  <c r="P431" i="9"/>
  <c r="L431" i="9"/>
  <c r="O431" i="9" s="1"/>
  <c r="P430" i="9"/>
  <c r="O430" i="9"/>
  <c r="P429" i="9"/>
  <c r="N429" i="9"/>
  <c r="M429" i="9"/>
  <c r="N424" i="9"/>
  <c r="L424" i="9"/>
  <c r="O424" i="9" s="1"/>
  <c r="P423" i="9"/>
  <c r="O423" i="9"/>
  <c r="N422" i="9"/>
  <c r="N421" i="9"/>
  <c r="P420" i="9"/>
  <c r="N420" i="9"/>
  <c r="N419" i="9" s="1"/>
  <c r="M420" i="9"/>
  <c r="L420" i="9"/>
  <c r="O420" i="9" s="1"/>
  <c r="K413" i="9"/>
  <c r="K412" i="9"/>
  <c r="N410" i="9"/>
  <c r="N408" i="9" s="1"/>
  <c r="M410" i="9"/>
  <c r="L410" i="9"/>
  <c r="O410" i="9" s="1"/>
  <c r="P409" i="9"/>
  <c r="O409" i="9"/>
  <c r="N407" i="9"/>
  <c r="M407" i="9"/>
  <c r="P407" i="9" s="1"/>
  <c r="L407" i="9"/>
  <c r="O407" i="9" s="1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M394" i="9"/>
  <c r="L394" i="9"/>
  <c r="O394" i="9" s="1"/>
  <c r="P393" i="9"/>
  <c r="O393" i="9"/>
  <c r="N390" i="9"/>
  <c r="M390" i="9"/>
  <c r="L390" i="9"/>
  <c r="O390" i="9" s="1"/>
  <c r="K388" i="9"/>
  <c r="J388" i="9"/>
  <c r="I388" i="9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L353" i="9"/>
  <c r="L351" i="9" s="1"/>
  <c r="P352" i="9"/>
  <c r="O352" i="9"/>
  <c r="N350" i="9"/>
  <c r="M350" i="9"/>
  <c r="M348" i="9" s="1"/>
  <c r="L350" i="9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L334" i="9" s="1"/>
  <c r="O334" i="9" s="1"/>
  <c r="P335" i="9"/>
  <c r="O335" i="9"/>
  <c r="N333" i="9"/>
  <c r="M333" i="9"/>
  <c r="M331" i="9" s="1"/>
  <c r="L333" i="9"/>
  <c r="P332" i="9"/>
  <c r="O332" i="9"/>
  <c r="P329" i="9"/>
  <c r="N329" i="9"/>
  <c r="M329" i="9"/>
  <c r="L329" i="9"/>
  <c r="O329" i="9" s="1"/>
  <c r="I327" i="9"/>
  <c r="I325" i="9"/>
  <c r="K325" i="9" s="1"/>
  <c r="N323" i="9"/>
  <c r="N321" i="9" s="1"/>
  <c r="M323" i="9"/>
  <c r="L323" i="9"/>
  <c r="O323" i="9" s="1"/>
  <c r="P322" i="9"/>
  <c r="O322" i="9"/>
  <c r="N320" i="9"/>
  <c r="N318" i="9" s="1"/>
  <c r="M320" i="9"/>
  <c r="M318" i="9" s="1"/>
  <c r="P318" i="9" s="1"/>
  <c r="L320" i="9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M304" i="9" s="1"/>
  <c r="P304" i="9" s="1"/>
  <c r="L306" i="9"/>
  <c r="L304" i="9" s="1"/>
  <c r="O304" i="9" s="1"/>
  <c r="P305" i="9"/>
  <c r="O305" i="9"/>
  <c r="N303" i="9"/>
  <c r="N301" i="9" s="1"/>
  <c r="M303" i="9"/>
  <c r="P303" i="9" s="1"/>
  <c r="L303" i="9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L285" i="9"/>
  <c r="O285" i="9" s="1"/>
  <c r="P284" i="9"/>
  <c r="O284" i="9"/>
  <c r="N282" i="9"/>
  <c r="M282" i="9"/>
  <c r="L282" i="9"/>
  <c r="O282" i="9" s="1"/>
  <c r="P281" i="9"/>
  <c r="O281" i="9"/>
  <c r="P278" i="9"/>
  <c r="N278" i="9"/>
  <c r="M278" i="9"/>
  <c r="L278" i="9"/>
  <c r="O278" i="9" s="1"/>
  <c r="J276" i="9"/>
  <c r="I271" i="9"/>
  <c r="K271" i="9" s="1"/>
  <c r="N269" i="9"/>
  <c r="N267" i="9" s="1"/>
  <c r="M269" i="9"/>
  <c r="P269" i="9" s="1"/>
  <c r="L269" i="9"/>
  <c r="L267" i="9" s="1"/>
  <c r="O267" i="9" s="1"/>
  <c r="P268" i="9"/>
  <c r="O268" i="9"/>
  <c r="N266" i="9"/>
  <c r="M266" i="9"/>
  <c r="L266" i="9"/>
  <c r="L264" i="9" s="1"/>
  <c r="P265" i="9"/>
  <c r="O265" i="9"/>
  <c r="P262" i="9"/>
  <c r="N262" i="9"/>
  <c r="M262" i="9"/>
  <c r="L262" i="9"/>
  <c r="O262" i="9" s="1"/>
  <c r="J260" i="9"/>
  <c r="K258" i="9"/>
  <c r="K257" i="9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J236" i="9"/>
  <c r="I236" i="9"/>
  <c r="J235" i="9"/>
  <c r="K235" i="9" s="1"/>
  <c r="I235" i="9"/>
  <c r="J233" i="9"/>
  <c r="N231" i="9"/>
  <c r="N230" i="9"/>
  <c r="N229" i="9"/>
  <c r="N228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L186" i="9"/>
  <c r="P185" i="9"/>
  <c r="O185" i="9"/>
  <c r="N182" i="9"/>
  <c r="M182" i="9"/>
  <c r="P182" i="9" s="1"/>
  <c r="L182" i="9"/>
  <c r="O182" i="9" s="1"/>
  <c r="J177" i="9"/>
  <c r="I176" i="9"/>
  <c r="I174" i="9" s="1"/>
  <c r="J174" i="9"/>
  <c r="N173" i="9"/>
  <c r="N171" i="9" s="1"/>
  <c r="M173" i="9"/>
  <c r="P173" i="9" s="1"/>
  <c r="L173" i="9"/>
  <c r="P172" i="9"/>
  <c r="O172" i="9"/>
  <c r="N170" i="9"/>
  <c r="M170" i="9"/>
  <c r="M168" i="9" s="1"/>
  <c r="L170" i="9"/>
  <c r="P169" i="9"/>
  <c r="O169" i="9"/>
  <c r="P166" i="9"/>
  <c r="N166" i="9"/>
  <c r="M166" i="9"/>
  <c r="L166" i="9"/>
  <c r="O166" i="9" s="1"/>
  <c r="J164" i="9"/>
  <c r="I159" i="9"/>
  <c r="I148" i="9" s="1"/>
  <c r="K148" i="9" s="1"/>
  <c r="N157" i="9"/>
  <c r="N155" i="9" s="1"/>
  <c r="M157" i="9"/>
  <c r="M155" i="9" s="1"/>
  <c r="P155" i="9" s="1"/>
  <c r="L157" i="9"/>
  <c r="P156" i="9"/>
  <c r="O156" i="9"/>
  <c r="N154" i="9"/>
  <c r="N152" i="9" s="1"/>
  <c r="M154" i="9"/>
  <c r="P154" i="9" s="1"/>
  <c r="L154" i="9"/>
  <c r="O154" i="9" s="1"/>
  <c r="P153" i="9"/>
  <c r="O153" i="9"/>
  <c r="P150" i="9"/>
  <c r="O150" i="9"/>
  <c r="N150" i="9"/>
  <c r="M150" i="9"/>
  <c r="L150" i="9"/>
  <c r="J148" i="9"/>
  <c r="I146" i="9"/>
  <c r="I130" i="9" s="1"/>
  <c r="K130" i="9" s="1"/>
  <c r="I145" i="9"/>
  <c r="I143" i="9" s="1"/>
  <c r="I131" i="9" s="1"/>
  <c r="K131" i="9" s="1"/>
  <c r="I144" i="9"/>
  <c r="N140" i="9"/>
  <c r="N138" i="9" s="1"/>
  <c r="M140" i="9"/>
  <c r="L140" i="9"/>
  <c r="P139" i="9"/>
  <c r="O139" i="9"/>
  <c r="N137" i="9"/>
  <c r="N135" i="9" s="1"/>
  <c r="M137" i="9"/>
  <c r="L137" i="9"/>
  <c r="O137" i="9" s="1"/>
  <c r="P136" i="9"/>
  <c r="O136" i="9"/>
  <c r="N133" i="9"/>
  <c r="M133" i="9"/>
  <c r="P133" i="9" s="1"/>
  <c r="L133" i="9"/>
  <c r="O133" i="9" s="1"/>
  <c r="J130" i="9"/>
  <c r="N127" i="9"/>
  <c r="N125" i="9" s="1"/>
  <c r="M127" i="9"/>
  <c r="L127" i="9"/>
  <c r="O127" i="9" s="1"/>
  <c r="P126" i="9"/>
  <c r="O126" i="9"/>
  <c r="N124" i="9"/>
  <c r="N122" i="9" s="1"/>
  <c r="M124" i="9"/>
  <c r="P124" i="9" s="1"/>
  <c r="L124" i="9"/>
  <c r="O124" i="9" s="1"/>
  <c r="P123" i="9"/>
  <c r="O123" i="9"/>
  <c r="P120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I87" i="9" s="1"/>
  <c r="J98" i="9"/>
  <c r="I98" i="9"/>
  <c r="K98" i="9" s="1"/>
  <c r="N96" i="9"/>
  <c r="N94" i="9" s="1"/>
  <c r="M96" i="9"/>
  <c r="P96" i="9" s="1"/>
  <c r="L96" i="9"/>
  <c r="L94" i="9" s="1"/>
  <c r="O94" i="9" s="1"/>
  <c r="P95" i="9"/>
  <c r="O95" i="9"/>
  <c r="N93" i="9"/>
  <c r="N91" i="9" s="1"/>
  <c r="M93" i="9"/>
  <c r="M91" i="9" s="1"/>
  <c r="L93" i="9"/>
  <c r="L91" i="9" s="1"/>
  <c r="P92" i="9"/>
  <c r="O92" i="9"/>
  <c r="O89" i="9"/>
  <c r="N89" i="9"/>
  <c r="M89" i="9"/>
  <c r="P89" i="9" s="1"/>
  <c r="L89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65" i="9" s="1"/>
  <c r="J76" i="9"/>
  <c r="N74" i="9"/>
  <c r="N72" i="9" s="1"/>
  <c r="M74" i="9"/>
  <c r="L74" i="9"/>
  <c r="O74" i="9" s="1"/>
  <c r="P73" i="9"/>
  <c r="O73" i="9"/>
  <c r="N71" i="9"/>
  <c r="N69" i="9" s="1"/>
  <c r="M71" i="9"/>
  <c r="L71" i="9"/>
  <c r="L69" i="9" s="1"/>
  <c r="O69" i="9" s="1"/>
  <c r="P70" i="9"/>
  <c r="O70" i="9"/>
  <c r="N67" i="9"/>
  <c r="M67" i="9"/>
  <c r="P67" i="9" s="1"/>
  <c r="L67" i="9"/>
  <c r="O67" i="9" s="1"/>
  <c r="J64" i="9"/>
  <c r="N61" i="9"/>
  <c r="N59" i="9" s="1"/>
  <c r="M61" i="9"/>
  <c r="P61" i="9" s="1"/>
  <c r="L61" i="9"/>
  <c r="O61" i="9" s="1"/>
  <c r="P60" i="9"/>
  <c r="O60" i="9"/>
  <c r="N58" i="9"/>
  <c r="M58" i="9"/>
  <c r="M56" i="9" s="1"/>
  <c r="L58" i="9"/>
  <c r="L56" i="9" s="1"/>
  <c r="P57" i="9"/>
  <c r="O57" i="9"/>
  <c r="P54" i="9"/>
  <c r="N54" i="9"/>
  <c r="M54" i="9"/>
  <c r="L54" i="9"/>
  <c r="O54" i="9" s="1"/>
  <c r="N49" i="9"/>
  <c r="N47" i="9" s="1"/>
  <c r="M49" i="9"/>
  <c r="M47" i="9" s="1"/>
  <c r="P47" i="9" s="1"/>
  <c r="L49" i="9"/>
  <c r="P48" i="9"/>
  <c r="O48" i="9"/>
  <c r="N46" i="9"/>
  <c r="N44" i="9" s="1"/>
  <c r="M46" i="9"/>
  <c r="M44" i="9" s="1"/>
  <c r="L46" i="9"/>
  <c r="L44" i="9" s="1"/>
  <c r="P45" i="9"/>
  <c r="O45" i="9"/>
  <c r="P42" i="9"/>
  <c r="N42" i="9"/>
  <c r="M42" i="9"/>
  <c r="L42" i="9"/>
  <c r="O42" i="9" s="1"/>
  <c r="N36" i="9"/>
  <c r="M36" i="9"/>
  <c r="P36" i="9" s="1"/>
  <c r="P35" i="9"/>
  <c r="N35" i="9"/>
  <c r="N34" i="9" s="1"/>
  <c r="M35" i="9"/>
  <c r="L35" i="9"/>
  <c r="L29" i="9" s="1"/>
  <c r="O32" i="9"/>
  <c r="N32" i="9"/>
  <c r="N31" i="9" s="1"/>
  <c r="M32" i="9"/>
  <c r="L32" i="9"/>
  <c r="N25" i="9"/>
  <c r="N15" i="9" s="1"/>
  <c r="M25" i="9"/>
  <c r="L25" i="9"/>
  <c r="L19" i="9" s="1"/>
  <c r="P22" i="9"/>
  <c r="O22" i="9"/>
  <c r="N22" i="9"/>
  <c r="M22" i="9"/>
  <c r="L22" i="9"/>
  <c r="N19" i="9"/>
  <c r="M19" i="9"/>
  <c r="P19" i="9" s="1"/>
  <c r="O12" i="9"/>
  <c r="M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P809" i="8"/>
  <c r="O809" i="8"/>
  <c r="P808" i="8"/>
  <c r="O808" i="8"/>
  <c r="N808" i="8"/>
  <c r="M808" i="8"/>
  <c r="L808" i="8"/>
  <c r="O807" i="8"/>
  <c r="N807" i="8"/>
  <c r="M807" i="8"/>
  <c r="P807" i="8" s="1"/>
  <c r="L807" i="8"/>
  <c r="N806" i="8"/>
  <c r="N805" i="8" s="1"/>
  <c r="M806" i="8"/>
  <c r="P806" i="8" s="1"/>
  <c r="L806" i="8"/>
  <c r="O806" i="8" s="1"/>
  <c r="M805" i="8"/>
  <c r="P805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8" i="8" s="1"/>
  <c r="L791" i="8"/>
  <c r="L789" i="8" s="1"/>
  <c r="O789" i="8" s="1"/>
  <c r="P790" i="8"/>
  <c r="O790" i="8"/>
  <c r="P789" i="8"/>
  <c r="M789" i="8"/>
  <c r="M788" i="8"/>
  <c r="P788" i="8" s="1"/>
  <c r="N787" i="8"/>
  <c r="M787" i="8"/>
  <c r="L787" i="8"/>
  <c r="O787" i="8" s="1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P772" i="8"/>
  <c r="O772" i="8"/>
  <c r="N772" i="8"/>
  <c r="M772" i="8"/>
  <c r="L772" i="8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P756" i="8"/>
  <c r="O756" i="8"/>
  <c r="N756" i="8"/>
  <c r="M756" i="8"/>
  <c r="L756" i="8"/>
  <c r="O755" i="8"/>
  <c r="N755" i="8"/>
  <c r="N754" i="8" s="1"/>
  <c r="M755" i="8"/>
  <c r="L755" i="8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P739" i="8"/>
  <c r="O739" i="8"/>
  <c r="N739" i="8"/>
  <c r="M739" i="8"/>
  <c r="L739" i="8"/>
  <c r="O738" i="8"/>
  <c r="N738" i="8"/>
  <c r="N737" i="8" s="1"/>
  <c r="M738" i="8"/>
  <c r="P738" i="8" s="1"/>
  <c r="L738" i="8"/>
  <c r="M737" i="8"/>
  <c r="P737" i="8" s="1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N694" i="8"/>
  <c r="N690" i="8" s="1"/>
  <c r="L690" i="8"/>
  <c r="P686" i="8"/>
  <c r="O686" i="8"/>
  <c r="N686" i="8"/>
  <c r="M686" i="8"/>
  <c r="L686" i="8"/>
  <c r="J679" i="8"/>
  <c r="J678" i="8"/>
  <c r="I678" i="8"/>
  <c r="K678" i="8" s="1"/>
  <c r="J675" i="8"/>
  <c r="I671" i="8"/>
  <c r="K671" i="8" s="1"/>
  <c r="I670" i="8"/>
  <c r="K670" i="8" s="1"/>
  <c r="J669" i="8"/>
  <c r="J654" i="8" s="1"/>
  <c r="I669" i="8"/>
  <c r="P667" i="8"/>
  <c r="O667" i="8"/>
  <c r="P666" i="8"/>
  <c r="O666" i="8"/>
  <c r="P665" i="8"/>
  <c r="O665" i="8"/>
  <c r="N665" i="8"/>
  <c r="M665" i="8"/>
  <c r="L665" i="8"/>
  <c r="N660" i="8"/>
  <c r="L660" i="8"/>
  <c r="L658" i="8" s="1"/>
  <c r="P659" i="8"/>
  <c r="O659" i="8"/>
  <c r="N658" i="8"/>
  <c r="N656" i="8"/>
  <c r="M656" i="8"/>
  <c r="L656" i="8"/>
  <c r="O656" i="8" s="1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L634" i="8"/>
  <c r="O634" i="8" s="1"/>
  <c r="P633" i="8"/>
  <c r="O633" i="8"/>
  <c r="P632" i="8"/>
  <c r="N632" i="8"/>
  <c r="M632" i="8"/>
  <c r="L632" i="8"/>
  <c r="O632" i="8" s="1"/>
  <c r="P631" i="8"/>
  <c r="N631" i="8"/>
  <c r="M631" i="8"/>
  <c r="P630" i="8"/>
  <c r="O630" i="8"/>
  <c r="N630" i="8"/>
  <c r="M630" i="8"/>
  <c r="L630" i="8"/>
  <c r="N629" i="8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5" i="8"/>
  <c r="J594" i="8"/>
  <c r="I594" i="8"/>
  <c r="I593" i="8"/>
  <c r="I592" i="8" s="1"/>
  <c r="J583" i="8"/>
  <c r="J577" i="8" s="1"/>
  <c r="J582" i="8"/>
  <c r="I577" i="8"/>
  <c r="K577" i="8" s="1"/>
  <c r="J576" i="8"/>
  <c r="J559" i="8" s="1"/>
  <c r="J543" i="8" s="1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L555" i="8" s="1"/>
  <c r="O555" i="8" s="1"/>
  <c r="P556" i="8"/>
  <c r="O556" i="8"/>
  <c r="P555" i="8"/>
  <c r="N555" i="8"/>
  <c r="N545" i="8" s="1"/>
  <c r="M555" i="8"/>
  <c r="N553" i="8"/>
  <c r="N549" i="8"/>
  <c r="L549" i="8"/>
  <c r="L547" i="8" s="1"/>
  <c r="P548" i="8"/>
  <c r="O548" i="8"/>
  <c r="N547" i="8"/>
  <c r="M545" i="8"/>
  <c r="P545" i="8" s="1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O528" i="8" s="1"/>
  <c r="P527" i="8"/>
  <c r="O527" i="8"/>
  <c r="M526" i="8"/>
  <c r="P526" i="8" s="1"/>
  <c r="M525" i="8"/>
  <c r="P525" i="8" s="1"/>
  <c r="N524" i="8"/>
  <c r="M524" i="8"/>
  <c r="L524" i="8"/>
  <c r="O524" i="8" s="1"/>
  <c r="K517" i="8"/>
  <c r="J517" i="8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P506" i="8"/>
  <c r="O506" i="8"/>
  <c r="P505" i="8"/>
  <c r="M505" i="8"/>
  <c r="L505" i="8"/>
  <c r="O505" i="8" s="1"/>
  <c r="P504" i="8"/>
  <c r="M504" i="8"/>
  <c r="L504" i="8"/>
  <c r="P503" i="8"/>
  <c r="O503" i="8"/>
  <c r="N503" i="8"/>
  <c r="M503" i="8"/>
  <c r="L503" i="8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N477" i="8"/>
  <c r="M477" i="8"/>
  <c r="P477" i="8" s="1"/>
  <c r="P472" i="8"/>
  <c r="N472" i="8"/>
  <c r="N469" i="8" s="1"/>
  <c r="L472" i="8"/>
  <c r="P471" i="8"/>
  <c r="O471" i="8"/>
  <c r="N470" i="8"/>
  <c r="M470" i="8"/>
  <c r="P470" i="8" s="1"/>
  <c r="P469" i="8"/>
  <c r="M469" i="8"/>
  <c r="P468" i="8"/>
  <c r="O468" i="8"/>
  <c r="N468" i="8"/>
  <c r="M468" i="8"/>
  <c r="L468" i="8"/>
  <c r="P467" i="8"/>
  <c r="N467" i="8"/>
  <c r="M467" i="8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I442" i="8" s="1"/>
  <c r="K442" i="8" s="1"/>
  <c r="K458" i="8"/>
  <c r="P456" i="8"/>
  <c r="L456" i="8"/>
  <c r="O456" i="8" s="1"/>
  <c r="P455" i="8"/>
  <c r="O455" i="8"/>
  <c r="N454" i="8"/>
  <c r="M454" i="8"/>
  <c r="P454" i="8" s="1"/>
  <c r="N449" i="8"/>
  <c r="N446" i="8" s="1"/>
  <c r="N444" i="8" s="1"/>
  <c r="L449" i="8"/>
  <c r="M449" i="8" s="1"/>
  <c r="P448" i="8"/>
  <c r="O448" i="8"/>
  <c r="N447" i="8"/>
  <c r="P445" i="8"/>
  <c r="N445" i="8"/>
  <c r="M445" i="8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I417" i="8" s="1"/>
  <c r="J434" i="8"/>
  <c r="J418" i="8" s="1"/>
  <c r="P431" i="8"/>
  <c r="L431" i="8"/>
  <c r="P430" i="8"/>
  <c r="O430" i="8"/>
  <c r="P429" i="8"/>
  <c r="N429" i="8"/>
  <c r="M429" i="8"/>
  <c r="N424" i="8"/>
  <c r="N421" i="8" s="1"/>
  <c r="L424" i="8"/>
  <c r="L422" i="8" s="1"/>
  <c r="P423" i="8"/>
  <c r="O423" i="8"/>
  <c r="N422" i="8"/>
  <c r="N420" i="8"/>
  <c r="M420" i="8"/>
  <c r="P420" i="8" s="1"/>
  <c r="L420" i="8"/>
  <c r="O420" i="8" s="1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P407" i="8" s="1"/>
  <c r="L407" i="8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P396" i="8"/>
  <c r="O396" i="8"/>
  <c r="N394" i="8"/>
  <c r="N392" i="8" s="1"/>
  <c r="M394" i="8"/>
  <c r="P394" i="8" s="1"/>
  <c r="L394" i="8"/>
  <c r="P393" i="8"/>
  <c r="O393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M351" i="8" s="1"/>
  <c r="L353" i="8"/>
  <c r="L351" i="8" s="1"/>
  <c r="P352" i="8"/>
  <c r="O352" i="8"/>
  <c r="N350" i="8"/>
  <c r="M350" i="8"/>
  <c r="M348" i="8" s="1"/>
  <c r="L350" i="8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P335" i="8"/>
  <c r="O335" i="8"/>
  <c r="N333" i="8"/>
  <c r="M333" i="8"/>
  <c r="M331" i="8" s="1"/>
  <c r="L333" i="8"/>
  <c r="L331" i="8" s="1"/>
  <c r="P332" i="8"/>
  <c r="O332" i="8"/>
  <c r="N329" i="8"/>
  <c r="M329" i="8"/>
  <c r="P329" i="8" s="1"/>
  <c r="L329" i="8"/>
  <c r="O329" i="8" s="1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O306" i="8" s="1"/>
  <c r="P305" i="8"/>
  <c r="O305" i="8"/>
  <c r="N303" i="8"/>
  <c r="N301" i="8" s="1"/>
  <c r="M303" i="8"/>
  <c r="M301" i="8" s="1"/>
  <c r="L303" i="8"/>
  <c r="L301" i="8" s="1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M280" i="8" s="1"/>
  <c r="L282" i="8"/>
  <c r="P281" i="8"/>
  <c r="O281" i="8"/>
  <c r="N278" i="8"/>
  <c r="M278" i="8"/>
  <c r="L278" i="8"/>
  <c r="O278" i="8" s="1"/>
  <c r="J276" i="8"/>
  <c r="I271" i="8"/>
  <c r="K271" i="8" s="1"/>
  <c r="N269" i="8"/>
  <c r="N267" i="8" s="1"/>
  <c r="M269" i="8"/>
  <c r="P269" i="8" s="1"/>
  <c r="L269" i="8"/>
  <c r="O269" i="8" s="1"/>
  <c r="P268" i="8"/>
  <c r="O268" i="8"/>
  <c r="N266" i="8"/>
  <c r="N264" i="8" s="1"/>
  <c r="M266" i="8"/>
  <c r="M264" i="8" s="1"/>
  <c r="L266" i="8"/>
  <c r="P265" i="8"/>
  <c r="O265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N227" i="8" s="1"/>
  <c r="J248" i="8"/>
  <c r="J226" i="8" s="1"/>
  <c r="J180" i="8" s="1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J235" i="8"/>
  <c r="I235" i="8"/>
  <c r="K235" i="8" s="1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P188" i="8"/>
  <c r="O188" i="8"/>
  <c r="N186" i="8"/>
  <c r="N184" i="8" s="1"/>
  <c r="M186" i="8"/>
  <c r="L186" i="8"/>
  <c r="L184" i="8" s="1"/>
  <c r="P185" i="8"/>
  <c r="O185" i="8"/>
  <c r="P182" i="8"/>
  <c r="O182" i="8"/>
  <c r="N182" i="8"/>
  <c r="M182" i="8"/>
  <c r="L182" i="8"/>
  <c r="J177" i="8"/>
  <c r="J164" i="8" s="1"/>
  <c r="I176" i="8"/>
  <c r="K176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N168" i="8" s="1"/>
  <c r="M170" i="8"/>
  <c r="P170" i="8" s="1"/>
  <c r="L170" i="8"/>
  <c r="P169" i="8"/>
  <c r="O169" i="8"/>
  <c r="P166" i="8"/>
  <c r="O166" i="8"/>
  <c r="N166" i="8"/>
  <c r="M166" i="8"/>
  <c r="L166" i="8"/>
  <c r="I159" i="8"/>
  <c r="I148" i="8" s="1"/>
  <c r="K148" i="8" s="1"/>
  <c r="N157" i="8"/>
  <c r="N155" i="8" s="1"/>
  <c r="M157" i="8"/>
  <c r="P157" i="8" s="1"/>
  <c r="L157" i="8"/>
  <c r="O157" i="8" s="1"/>
  <c r="P156" i="8"/>
  <c r="O156" i="8"/>
  <c r="N154" i="8"/>
  <c r="M154" i="8"/>
  <c r="M152" i="8" s="1"/>
  <c r="P152" i="8" s="1"/>
  <c r="L154" i="8"/>
  <c r="P153" i="8"/>
  <c r="O153" i="8"/>
  <c r="P150" i="8"/>
  <c r="N150" i="8"/>
  <c r="M150" i="8"/>
  <c r="L150" i="8"/>
  <c r="O150" i="8" s="1"/>
  <c r="J148" i="8"/>
  <c r="I146" i="8"/>
  <c r="K146" i="8" s="1"/>
  <c r="I145" i="8"/>
  <c r="I143" i="8" s="1"/>
  <c r="I144" i="8"/>
  <c r="K144" i="8" s="1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M135" i="8" s="1"/>
  <c r="P135" i="8" s="1"/>
  <c r="L137" i="8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O127" i="8" s="1"/>
  <c r="P126" i="8"/>
  <c r="O126" i="8"/>
  <c r="N124" i="8"/>
  <c r="N122" i="8" s="1"/>
  <c r="M124" i="8"/>
  <c r="P124" i="8" s="1"/>
  <c r="L124" i="8"/>
  <c r="P123" i="8"/>
  <c r="O123" i="8"/>
  <c r="O120" i="8"/>
  <c r="N120" i="8"/>
  <c r="M120" i="8"/>
  <c r="L120" i="8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I86" i="8" s="1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P89" i="8"/>
  <c r="N89" i="8"/>
  <c r="M89" i="8"/>
  <c r="L89" i="8"/>
  <c r="J87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76" i="8"/>
  <c r="J64" i="8" s="1"/>
  <c r="N74" i="8"/>
  <c r="N72" i="8" s="1"/>
  <c r="M74" i="8"/>
  <c r="P74" i="8" s="1"/>
  <c r="L74" i="8"/>
  <c r="O74" i="8" s="1"/>
  <c r="P73" i="8"/>
  <c r="O73" i="8"/>
  <c r="N71" i="8"/>
  <c r="N69" i="8" s="1"/>
  <c r="M71" i="8"/>
  <c r="P71" i="8" s="1"/>
  <c r="L71" i="8"/>
  <c r="O71" i="8" s="1"/>
  <c r="P70" i="8"/>
  <c r="O70" i="8"/>
  <c r="P67" i="8"/>
  <c r="O67" i="8"/>
  <c r="N67" i="8"/>
  <c r="M67" i="8"/>
  <c r="L67" i="8"/>
  <c r="J65" i="8"/>
  <c r="N61" i="8"/>
  <c r="M61" i="8"/>
  <c r="L61" i="8"/>
  <c r="O61" i="8" s="1"/>
  <c r="P60" i="8"/>
  <c r="O60" i="8"/>
  <c r="N58" i="8"/>
  <c r="N56" i="8" s="1"/>
  <c r="M58" i="8"/>
  <c r="L58" i="8"/>
  <c r="P57" i="8"/>
  <c r="O57" i="8"/>
  <c r="N54" i="8"/>
  <c r="M54" i="8"/>
  <c r="P54" i="8" s="1"/>
  <c r="L54" i="8"/>
  <c r="O54" i="8" s="1"/>
  <c r="N49" i="8"/>
  <c r="N47" i="8" s="1"/>
  <c r="M49" i="8"/>
  <c r="P49" i="8" s="1"/>
  <c r="L49" i="8"/>
  <c r="L47" i="8" s="1"/>
  <c r="O47" i="8" s="1"/>
  <c r="P48" i="8"/>
  <c r="O48" i="8"/>
  <c r="N46" i="8"/>
  <c r="N44" i="8" s="1"/>
  <c r="M46" i="8"/>
  <c r="L46" i="8"/>
  <c r="P45" i="8"/>
  <c r="O45" i="8"/>
  <c r="P42" i="8"/>
  <c r="O42" i="8"/>
  <c r="N42" i="8"/>
  <c r="M42" i="8"/>
  <c r="L42" i="8"/>
  <c r="N36" i="8"/>
  <c r="M36" i="8"/>
  <c r="P36" i="8" s="1"/>
  <c r="N35" i="8"/>
  <c r="N34" i="8" s="1"/>
  <c r="M35" i="8"/>
  <c r="L35" i="8"/>
  <c r="O35" i="8" s="1"/>
  <c r="P32" i="8"/>
  <c r="O32" i="8"/>
  <c r="N32" i="8"/>
  <c r="N29" i="8" s="1"/>
  <c r="M32" i="8"/>
  <c r="L32" i="8"/>
  <c r="P25" i="8"/>
  <c r="O25" i="8"/>
  <c r="N25" i="8"/>
  <c r="N15" i="8" s="1"/>
  <c r="M25" i="8"/>
  <c r="L25" i="8"/>
  <c r="N22" i="8"/>
  <c r="M22" i="8"/>
  <c r="L22" i="8"/>
  <c r="O22" i="8" s="1"/>
  <c r="M15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M808" i="7"/>
  <c r="P808" i="7" s="1"/>
  <c r="L808" i="7"/>
  <c r="M807" i="7"/>
  <c r="P807" i="7" s="1"/>
  <c r="L807" i="7"/>
  <c r="O807" i="7" s="1"/>
  <c r="N806" i="7"/>
  <c r="M806" i="7"/>
  <c r="P806" i="7" s="1"/>
  <c r="L806" i="7"/>
  <c r="O806" i="7" s="1"/>
  <c r="K804" i="7"/>
  <c r="J804" i="7"/>
  <c r="K802" i="7"/>
  <c r="J801" i="7"/>
  <c r="J800" i="7"/>
  <c r="J785" i="7" s="1"/>
  <c r="I800" i="7"/>
  <c r="I785" i="7" s="1"/>
  <c r="K785" i="7" s="1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8" i="7" s="1"/>
  <c r="O788" i="7" s="1"/>
  <c r="P790" i="7"/>
  <c r="O790" i="7"/>
  <c r="N789" i="7"/>
  <c r="M789" i="7"/>
  <c r="P789" i="7" s="1"/>
  <c r="M788" i="7"/>
  <c r="P788" i="7" s="1"/>
  <c r="N787" i="7"/>
  <c r="M787" i="7"/>
  <c r="P787" i="7" s="1"/>
  <c r="L787" i="7"/>
  <c r="O787" i="7" s="1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P773" i="7"/>
  <c r="O773" i="7"/>
  <c r="N773" i="7"/>
  <c r="M773" i="7"/>
  <c r="L773" i="7"/>
  <c r="O772" i="7"/>
  <c r="N772" i="7"/>
  <c r="M772" i="7"/>
  <c r="P772" i="7" s="1"/>
  <c r="L772" i="7"/>
  <c r="N771" i="7"/>
  <c r="N770" i="7" s="1"/>
  <c r="M771" i="7"/>
  <c r="P771" i="7" s="1"/>
  <c r="L771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P757" i="7"/>
  <c r="O757" i="7"/>
  <c r="N757" i="7"/>
  <c r="M757" i="7"/>
  <c r="L757" i="7"/>
  <c r="O756" i="7"/>
  <c r="N756" i="7"/>
  <c r="M756" i="7"/>
  <c r="P756" i="7" s="1"/>
  <c r="L756" i="7"/>
  <c r="N755" i="7"/>
  <c r="N754" i="7" s="1"/>
  <c r="M755" i="7"/>
  <c r="P755" i="7" s="1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P740" i="7"/>
  <c r="O740" i="7"/>
  <c r="N740" i="7"/>
  <c r="M740" i="7"/>
  <c r="L740" i="7"/>
  <c r="O739" i="7"/>
  <c r="N739" i="7"/>
  <c r="M739" i="7"/>
  <c r="P739" i="7" s="1"/>
  <c r="L739" i="7"/>
  <c r="N738" i="7"/>
  <c r="N737" i="7" s="1"/>
  <c r="M738" i="7"/>
  <c r="P738" i="7" s="1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L687" i="7" s="1"/>
  <c r="O687" i="7" s="1"/>
  <c r="N688" i="7"/>
  <c r="M688" i="7"/>
  <c r="P688" i="7" s="1"/>
  <c r="N687" i="7"/>
  <c r="N685" i="7" s="1"/>
  <c r="M687" i="7"/>
  <c r="P687" i="7" s="1"/>
  <c r="N686" i="7"/>
  <c r="M686" i="7"/>
  <c r="P686" i="7" s="1"/>
  <c r="L686" i="7"/>
  <c r="O686" i="7" s="1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K675" i="7" s="1"/>
  <c r="P667" i="7"/>
  <c r="O667" i="7"/>
  <c r="P666" i="7"/>
  <c r="O666" i="7"/>
  <c r="N665" i="7"/>
  <c r="M665" i="7"/>
  <c r="P665" i="7" s="1"/>
  <c r="L665" i="7"/>
  <c r="O665" i="7" s="1"/>
  <c r="P660" i="7"/>
  <c r="N660" i="7"/>
  <c r="L660" i="7"/>
  <c r="O660" i="7" s="1"/>
  <c r="P659" i="7"/>
  <c r="O659" i="7"/>
  <c r="P658" i="7"/>
  <c r="N658" i="7"/>
  <c r="M658" i="7"/>
  <c r="P657" i="7"/>
  <c r="N657" i="7"/>
  <c r="M657" i="7"/>
  <c r="P656" i="7"/>
  <c r="O656" i="7"/>
  <c r="N656" i="7"/>
  <c r="N655" i="7" s="1"/>
  <c r="M656" i="7"/>
  <c r="L656" i="7"/>
  <c r="M655" i="7"/>
  <c r="P655" i="7" s="1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N634" i="7"/>
  <c r="L634" i="7"/>
  <c r="L631" i="7" s="1"/>
  <c r="O631" i="7" s="1"/>
  <c r="P633" i="7"/>
  <c r="O633" i="7"/>
  <c r="N632" i="7"/>
  <c r="N631" i="7"/>
  <c r="N629" i="7" s="1"/>
  <c r="N630" i="7"/>
  <c r="M630" i="7"/>
  <c r="P630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J592" i="7" s="1"/>
  <c r="I594" i="7"/>
  <c r="K594" i="7" s="1"/>
  <c r="I593" i="7"/>
  <c r="I592" i="7" s="1"/>
  <c r="K592" i="7" s="1"/>
  <c r="J583" i="7"/>
  <c r="J582" i="7"/>
  <c r="J576" i="7" s="1"/>
  <c r="J577" i="7"/>
  <c r="I577" i="7"/>
  <c r="K577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J559" i="7"/>
  <c r="J543" i="7" s="1"/>
  <c r="P557" i="7"/>
  <c r="L557" i="7"/>
  <c r="O557" i="7" s="1"/>
  <c r="P556" i="7"/>
  <c r="O556" i="7"/>
  <c r="N555" i="7"/>
  <c r="M555" i="7"/>
  <c r="P555" i="7" s="1"/>
  <c r="N549" i="7"/>
  <c r="L549" i="7"/>
  <c r="O549" i="7" s="1"/>
  <c r="P548" i="7"/>
  <c r="O548" i="7"/>
  <c r="N547" i="7"/>
  <c r="N546" i="7"/>
  <c r="O545" i="7"/>
  <c r="N545" i="7"/>
  <c r="L545" i="7"/>
  <c r="N544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O535" i="7" s="1"/>
  <c r="P534" i="7"/>
  <c r="O534" i="7"/>
  <c r="P533" i="7"/>
  <c r="N533" i="7"/>
  <c r="M533" i="7"/>
  <c r="P528" i="7"/>
  <c r="N528" i="7"/>
  <c r="L528" i="7"/>
  <c r="O528" i="7" s="1"/>
  <c r="P527" i="7"/>
  <c r="O527" i="7"/>
  <c r="P526" i="7"/>
  <c r="N526" i="7"/>
  <c r="M526" i="7"/>
  <c r="P525" i="7"/>
  <c r="N525" i="7"/>
  <c r="M525" i="7"/>
  <c r="O524" i="7"/>
  <c r="N524" i="7"/>
  <c r="N523" i="7" s="1"/>
  <c r="M524" i="7"/>
  <c r="L524" i="7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O505" i="7"/>
  <c r="M505" i="7"/>
  <c r="P505" i="7" s="1"/>
  <c r="L505" i="7"/>
  <c r="M504" i="7"/>
  <c r="P504" i="7" s="1"/>
  <c r="L504" i="7"/>
  <c r="O504" i="7" s="1"/>
  <c r="N503" i="7"/>
  <c r="M503" i="7"/>
  <c r="P503" i="7" s="1"/>
  <c r="L503" i="7"/>
  <c r="O503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N472" i="7"/>
  <c r="L472" i="7"/>
  <c r="L470" i="7" s="1"/>
  <c r="O470" i="7" s="1"/>
  <c r="P471" i="7"/>
  <c r="O471" i="7"/>
  <c r="N470" i="7"/>
  <c r="N469" i="7"/>
  <c r="N468" i="7"/>
  <c r="N467" i="7" s="1"/>
  <c r="M468" i="7"/>
  <c r="P468" i="7" s="1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K460" i="7" s="1"/>
  <c r="K458" i="7"/>
  <c r="P456" i="7"/>
  <c r="L456" i="7"/>
  <c r="O456" i="7" s="1"/>
  <c r="P455" i="7"/>
  <c r="O455" i="7"/>
  <c r="P454" i="7"/>
  <c r="N454" i="7"/>
  <c r="M454" i="7"/>
  <c r="P449" i="7"/>
  <c r="N449" i="7"/>
  <c r="L449" i="7"/>
  <c r="O449" i="7" s="1"/>
  <c r="P448" i="7"/>
  <c r="O448" i="7"/>
  <c r="P447" i="7"/>
  <c r="N447" i="7"/>
  <c r="M447" i="7"/>
  <c r="P446" i="7"/>
  <c r="N446" i="7"/>
  <c r="M446" i="7"/>
  <c r="O445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J434" i="7"/>
  <c r="P431" i="7"/>
  <c r="L431" i="7"/>
  <c r="L429" i="7" s="1"/>
  <c r="O429" i="7" s="1"/>
  <c r="P430" i="7"/>
  <c r="O430" i="7"/>
  <c r="P429" i="7"/>
  <c r="N429" i="7"/>
  <c r="M429" i="7"/>
  <c r="N424" i="7"/>
  <c r="N422" i="7" s="1"/>
  <c r="L424" i="7"/>
  <c r="M424" i="7" s="1"/>
  <c r="P423" i="7"/>
  <c r="O423" i="7"/>
  <c r="N421" i="7"/>
  <c r="P420" i="7"/>
  <c r="O420" i="7"/>
  <c r="N420" i="7"/>
  <c r="N419" i="7" s="1"/>
  <c r="M420" i="7"/>
  <c r="L420" i="7"/>
  <c r="J418" i="7"/>
  <c r="K413" i="7"/>
  <c r="K412" i="7"/>
  <c r="N410" i="7"/>
  <c r="N408" i="7" s="1"/>
  <c r="M410" i="7"/>
  <c r="L410" i="7"/>
  <c r="L408" i="7" s="1"/>
  <c r="O408" i="7" s="1"/>
  <c r="P409" i="7"/>
  <c r="O409" i="7"/>
  <c r="N407" i="7"/>
  <c r="N405" i="7" s="1"/>
  <c r="M407" i="7"/>
  <c r="L407" i="7"/>
  <c r="P406" i="7"/>
  <c r="O406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N348" i="7" s="1"/>
  <c r="M350" i="7"/>
  <c r="L350" i="7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N331" i="7" s="1"/>
  <c r="M333" i="7"/>
  <c r="M331" i="7" s="1"/>
  <c r="L333" i="7"/>
  <c r="P332" i="7"/>
  <c r="O332" i="7"/>
  <c r="O329" i="7"/>
  <c r="N329" i="7"/>
  <c r="M329" i="7"/>
  <c r="P329" i="7" s="1"/>
  <c r="L329" i="7"/>
  <c r="I327" i="7"/>
  <c r="I325" i="7"/>
  <c r="K325" i="7" s="1"/>
  <c r="N323" i="7"/>
  <c r="N321" i="7" s="1"/>
  <c r="M323" i="7"/>
  <c r="L323" i="7"/>
  <c r="O323" i="7" s="1"/>
  <c r="P322" i="7"/>
  <c r="O322" i="7"/>
  <c r="N320" i="7"/>
  <c r="N318" i="7" s="1"/>
  <c r="M320" i="7"/>
  <c r="P320" i="7" s="1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L304" i="7" s="1"/>
  <c r="O304" i="7" s="1"/>
  <c r="P305" i="7"/>
  <c r="O305" i="7"/>
  <c r="N303" i="7"/>
  <c r="N301" i="7" s="1"/>
  <c r="M303" i="7"/>
  <c r="L303" i="7"/>
  <c r="L301" i="7" s="1"/>
  <c r="O301" i="7" s="1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N283" i="7" s="1"/>
  <c r="M285" i="7"/>
  <c r="P285" i="7" s="1"/>
  <c r="L285" i="7"/>
  <c r="O285" i="7" s="1"/>
  <c r="P284" i="7"/>
  <c r="O284" i="7"/>
  <c r="N282" i="7"/>
  <c r="N280" i="7" s="1"/>
  <c r="M282" i="7"/>
  <c r="P282" i="7" s="1"/>
  <c r="L282" i="7"/>
  <c r="O282" i="7" s="1"/>
  <c r="P281" i="7"/>
  <c r="O281" i="7"/>
  <c r="N278" i="7"/>
  <c r="M278" i="7"/>
  <c r="L278" i="7"/>
  <c r="O278" i="7" s="1"/>
  <c r="J276" i="7"/>
  <c r="I271" i="7"/>
  <c r="K271" i="7" s="1"/>
  <c r="N269" i="7"/>
  <c r="M269" i="7"/>
  <c r="M267" i="7" s="1"/>
  <c r="P267" i="7" s="1"/>
  <c r="L269" i="7"/>
  <c r="O269" i="7" s="1"/>
  <c r="P268" i="7"/>
  <c r="O268" i="7"/>
  <c r="N266" i="7"/>
  <c r="N264" i="7" s="1"/>
  <c r="M266" i="7"/>
  <c r="L266" i="7"/>
  <c r="P265" i="7"/>
  <c r="O265" i="7"/>
  <c r="P262" i="7"/>
  <c r="O262" i="7"/>
  <c r="N262" i="7"/>
  <c r="M262" i="7"/>
  <c r="L262" i="7"/>
  <c r="J260" i="7"/>
  <c r="K258" i="7"/>
  <c r="K257" i="7"/>
  <c r="K255" i="7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K236" i="7"/>
  <c r="J236" i="7"/>
  <c r="I236" i="7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L187" i="7" s="1"/>
  <c r="O187" i="7" s="1"/>
  <c r="P188" i="7"/>
  <c r="O188" i="7"/>
  <c r="N186" i="7"/>
  <c r="M186" i="7"/>
  <c r="M184" i="7" s="1"/>
  <c r="L186" i="7"/>
  <c r="L184" i="7" s="1"/>
  <c r="P185" i="7"/>
  <c r="O185" i="7"/>
  <c r="O182" i="7"/>
  <c r="N182" i="7"/>
  <c r="M182" i="7"/>
  <c r="L182" i="7"/>
  <c r="J177" i="7"/>
  <c r="J164" i="7" s="1"/>
  <c r="I176" i="7"/>
  <c r="K176" i="7" s="1"/>
  <c r="J174" i="7"/>
  <c r="N173" i="7"/>
  <c r="N171" i="7" s="1"/>
  <c r="M173" i="7"/>
  <c r="M171" i="7" s="1"/>
  <c r="P171" i="7" s="1"/>
  <c r="L173" i="7"/>
  <c r="L171" i="7" s="1"/>
  <c r="O171" i="7" s="1"/>
  <c r="P172" i="7"/>
  <c r="O172" i="7"/>
  <c r="N170" i="7"/>
  <c r="M170" i="7"/>
  <c r="M168" i="7" s="1"/>
  <c r="L170" i="7"/>
  <c r="L168" i="7" s="1"/>
  <c r="P169" i="7"/>
  <c r="O169" i="7"/>
  <c r="O166" i="7"/>
  <c r="N166" i="7"/>
  <c r="M166" i="7"/>
  <c r="L166" i="7"/>
  <c r="I159" i="7"/>
  <c r="N157" i="7"/>
  <c r="N155" i="7" s="1"/>
  <c r="M157" i="7"/>
  <c r="P157" i="7" s="1"/>
  <c r="L157" i="7"/>
  <c r="P156" i="7"/>
  <c r="O156" i="7"/>
  <c r="N154" i="7"/>
  <c r="N152" i="7" s="1"/>
  <c r="M154" i="7"/>
  <c r="P154" i="7" s="1"/>
  <c r="L154" i="7"/>
  <c r="P153" i="7"/>
  <c r="O153" i="7"/>
  <c r="P150" i="7"/>
  <c r="O150" i="7"/>
  <c r="N150" i="7"/>
  <c r="M150" i="7"/>
  <c r="L150" i="7"/>
  <c r="J148" i="7"/>
  <c r="I146" i="7"/>
  <c r="I130" i="7" s="1"/>
  <c r="K130" i="7" s="1"/>
  <c r="I145" i="7"/>
  <c r="I144" i="7"/>
  <c r="K144" i="7" s="1"/>
  <c r="N140" i="7"/>
  <c r="N138" i="7" s="1"/>
  <c r="M140" i="7"/>
  <c r="P140" i="7" s="1"/>
  <c r="L140" i="7"/>
  <c r="P139" i="7"/>
  <c r="O139" i="7"/>
  <c r="N137" i="7"/>
  <c r="M137" i="7"/>
  <c r="P137" i="7" s="1"/>
  <c r="L137" i="7"/>
  <c r="L135" i="7" s="1"/>
  <c r="O135" i="7" s="1"/>
  <c r="P136" i="7"/>
  <c r="O136" i="7"/>
  <c r="N133" i="7"/>
  <c r="M133" i="7"/>
  <c r="P133" i="7" s="1"/>
  <c r="L133" i="7"/>
  <c r="J130" i="7"/>
  <c r="N127" i="7"/>
  <c r="N125" i="7" s="1"/>
  <c r="M127" i="7"/>
  <c r="M125" i="7" s="1"/>
  <c r="P125" i="7" s="1"/>
  <c r="L127" i="7"/>
  <c r="L125" i="7" s="1"/>
  <c r="O125" i="7" s="1"/>
  <c r="P126" i="7"/>
  <c r="O126" i="7"/>
  <c r="N124" i="7"/>
  <c r="N122" i="7" s="1"/>
  <c r="M124" i="7"/>
  <c r="P124" i="7" s="1"/>
  <c r="L124" i="7"/>
  <c r="L122" i="7" s="1"/>
  <c r="O122" i="7" s="1"/>
  <c r="P123" i="7"/>
  <c r="O123" i="7"/>
  <c r="P120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I87" i="7" s="1"/>
  <c r="K87" i="7" s="1"/>
  <c r="J98" i="7"/>
  <c r="I98" i="7"/>
  <c r="K98" i="7" s="1"/>
  <c r="N96" i="7"/>
  <c r="N94" i="7" s="1"/>
  <c r="M96" i="7"/>
  <c r="M94" i="7" s="1"/>
  <c r="P94" i="7" s="1"/>
  <c r="L96" i="7"/>
  <c r="L94" i="7" s="1"/>
  <c r="O94" i="7" s="1"/>
  <c r="P95" i="7"/>
  <c r="O95" i="7"/>
  <c r="N93" i="7"/>
  <c r="N91" i="7" s="1"/>
  <c r="M93" i="7"/>
  <c r="M91" i="7" s="1"/>
  <c r="L93" i="7"/>
  <c r="P92" i="7"/>
  <c r="O92" i="7"/>
  <c r="O89" i="7"/>
  <c r="N89" i="7"/>
  <c r="M89" i="7"/>
  <c r="L89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76" i="7"/>
  <c r="J64" i="7" s="1"/>
  <c r="N74" i="7"/>
  <c r="N72" i="7" s="1"/>
  <c r="M74" i="7"/>
  <c r="L74" i="7"/>
  <c r="L72" i="7" s="1"/>
  <c r="O72" i="7" s="1"/>
  <c r="P73" i="7"/>
  <c r="O73" i="7"/>
  <c r="N71" i="7"/>
  <c r="M71" i="7"/>
  <c r="P71" i="7" s="1"/>
  <c r="L71" i="7"/>
  <c r="L69" i="7" s="1"/>
  <c r="O69" i="7" s="1"/>
  <c r="P70" i="7"/>
  <c r="O70" i="7"/>
  <c r="N67" i="7"/>
  <c r="M67" i="7"/>
  <c r="P67" i="7" s="1"/>
  <c r="L67" i="7"/>
  <c r="J65" i="7"/>
  <c r="N61" i="7"/>
  <c r="N59" i="7" s="1"/>
  <c r="M61" i="7"/>
  <c r="L61" i="7"/>
  <c r="L59" i="7" s="1"/>
  <c r="P60" i="7"/>
  <c r="O60" i="7"/>
  <c r="N58" i="7"/>
  <c r="N56" i="7" s="1"/>
  <c r="M58" i="7"/>
  <c r="L58" i="7"/>
  <c r="P57" i="7"/>
  <c r="O57" i="7"/>
  <c r="P54" i="7"/>
  <c r="O54" i="7"/>
  <c r="N54" i="7"/>
  <c r="M54" i="7"/>
  <c r="L54" i="7"/>
  <c r="N49" i="7"/>
  <c r="M49" i="7"/>
  <c r="M47" i="7" s="1"/>
  <c r="P47" i="7" s="1"/>
  <c r="L49" i="7"/>
  <c r="L47" i="7" s="1"/>
  <c r="O47" i="7" s="1"/>
  <c r="P48" i="7"/>
  <c r="O48" i="7"/>
  <c r="N46" i="7"/>
  <c r="N44" i="7" s="1"/>
  <c r="M46" i="7"/>
  <c r="M44" i="7" s="1"/>
  <c r="L46" i="7"/>
  <c r="P45" i="7"/>
  <c r="O45" i="7"/>
  <c r="N42" i="7"/>
  <c r="M42" i="7"/>
  <c r="P42" i="7" s="1"/>
  <c r="L42" i="7"/>
  <c r="P36" i="7"/>
  <c r="N36" i="7"/>
  <c r="M36" i="7"/>
  <c r="P35" i="7"/>
  <c r="O35" i="7"/>
  <c r="N35" i="7"/>
  <c r="M35" i="7"/>
  <c r="M15" i="7" s="1"/>
  <c r="L35" i="7"/>
  <c r="M34" i="7"/>
  <c r="P34" i="7" s="1"/>
  <c r="N33" i="7"/>
  <c r="N31" i="7" s="1"/>
  <c r="N32" i="7"/>
  <c r="M32" i="7"/>
  <c r="L32" i="7"/>
  <c r="O32" i="7" s="1"/>
  <c r="N30" i="7"/>
  <c r="N29" i="7"/>
  <c r="P25" i="7"/>
  <c r="N25" i="7"/>
  <c r="M25" i="7"/>
  <c r="L25" i="7"/>
  <c r="O25" i="7" s="1"/>
  <c r="P22" i="7"/>
  <c r="O22" i="7"/>
  <c r="N22" i="7"/>
  <c r="M22" i="7"/>
  <c r="M19" i="7" s="1"/>
  <c r="L22" i="7"/>
  <c r="L19" i="7"/>
  <c r="O19" i="7" s="1"/>
  <c r="N15" i="7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M807" i="6"/>
  <c r="P807" i="6" s="1"/>
  <c r="L807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N788" i="6" s="1"/>
  <c r="L791" i="6"/>
  <c r="L789" i="6" s="1"/>
  <c r="O789" i="6" s="1"/>
  <c r="P790" i="6"/>
  <c r="O790" i="6"/>
  <c r="P789" i="6"/>
  <c r="N789" i="6"/>
  <c r="M789" i="6"/>
  <c r="M788" i="6"/>
  <c r="P788" i="6" s="1"/>
  <c r="N787" i="6"/>
  <c r="M787" i="6"/>
  <c r="L787" i="6"/>
  <c r="O787" i="6" s="1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N773" i="6" s="1"/>
  <c r="P774" i="6"/>
  <c r="O774" i="6"/>
  <c r="P773" i="6"/>
  <c r="O773" i="6"/>
  <c r="M773" i="6"/>
  <c r="L773" i="6"/>
  <c r="P772" i="6"/>
  <c r="O772" i="6"/>
  <c r="N772" i="6"/>
  <c r="M772" i="6"/>
  <c r="L772" i="6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N764" i="6"/>
  <c r="M764" i="6"/>
  <c r="P764" i="6" s="1"/>
  <c r="L764" i="6"/>
  <c r="O764" i="6" s="1"/>
  <c r="P759" i="6"/>
  <c r="O759" i="6"/>
  <c r="N759" i="6"/>
  <c r="N757" i="6" s="1"/>
  <c r="P758" i="6"/>
  <c r="O758" i="6"/>
  <c r="P757" i="6"/>
  <c r="O757" i="6"/>
  <c r="M757" i="6"/>
  <c r="L757" i="6"/>
  <c r="P756" i="6"/>
  <c r="O756" i="6"/>
  <c r="N756" i="6"/>
  <c r="M756" i="6"/>
  <c r="L756" i="6"/>
  <c r="O755" i="6"/>
  <c r="N755" i="6"/>
  <c r="M755" i="6"/>
  <c r="P755" i="6" s="1"/>
  <c r="L755" i="6"/>
  <c r="M754" i="6"/>
  <c r="P754" i="6" s="1"/>
  <c r="L754" i="6"/>
  <c r="O754" i="6" s="1"/>
  <c r="K753" i="6"/>
  <c r="J753" i="6"/>
  <c r="P749" i="6"/>
  <c r="O749" i="6"/>
  <c r="P748" i="6"/>
  <c r="O748" i="6"/>
  <c r="N747" i="6"/>
  <c r="M747" i="6"/>
  <c r="P747" i="6" s="1"/>
  <c r="L747" i="6"/>
  <c r="O747" i="6" s="1"/>
  <c r="P742" i="6"/>
  <c r="O742" i="6"/>
  <c r="N742" i="6"/>
  <c r="N740" i="6" s="1"/>
  <c r="P741" i="6"/>
  <c r="O741" i="6"/>
  <c r="P740" i="6"/>
  <c r="O740" i="6"/>
  <c r="M740" i="6"/>
  <c r="L740" i="6"/>
  <c r="P739" i="6"/>
  <c r="O739" i="6"/>
  <c r="N739" i="6"/>
  <c r="M739" i="6"/>
  <c r="L739" i="6"/>
  <c r="O738" i="6"/>
  <c r="N738" i="6"/>
  <c r="N737" i="6" s="1"/>
  <c r="M738" i="6"/>
  <c r="P738" i="6" s="1"/>
  <c r="L738" i="6"/>
  <c r="M737" i="6"/>
  <c r="P737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N695" i="6"/>
  <c r="M695" i="6"/>
  <c r="P695" i="6" s="1"/>
  <c r="L695" i="6"/>
  <c r="O695" i="6" s="1"/>
  <c r="N690" i="6"/>
  <c r="N688" i="6" s="1"/>
  <c r="L690" i="6"/>
  <c r="O690" i="6" s="1"/>
  <c r="N687" i="6"/>
  <c r="O686" i="6"/>
  <c r="N686" i="6"/>
  <c r="N685" i="6" s="1"/>
  <c r="M686" i="6"/>
  <c r="P686" i="6" s="1"/>
  <c r="L686" i="6"/>
  <c r="J679" i="6"/>
  <c r="J678" i="6"/>
  <c r="I678" i="6"/>
  <c r="K678" i="6" s="1"/>
  <c r="J675" i="6"/>
  <c r="J669" i="6" s="1"/>
  <c r="I671" i="6"/>
  <c r="K671" i="6" s="1"/>
  <c r="I670" i="6"/>
  <c r="K670" i="6" s="1"/>
  <c r="I669" i="6"/>
  <c r="P667" i="6"/>
  <c r="O667" i="6"/>
  <c r="P666" i="6"/>
  <c r="O666" i="6"/>
  <c r="O665" i="6"/>
  <c r="N665" i="6"/>
  <c r="M665" i="6"/>
  <c r="P665" i="6" s="1"/>
  <c r="L665" i="6"/>
  <c r="N660" i="6"/>
  <c r="L660" i="6"/>
  <c r="P659" i="6"/>
  <c r="O659" i="6"/>
  <c r="N658" i="6"/>
  <c r="N657" i="6"/>
  <c r="N656" i="6"/>
  <c r="M656" i="6"/>
  <c r="P656" i="6" s="1"/>
  <c r="L656" i="6"/>
  <c r="N655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P639" i="6"/>
  <c r="N639" i="6"/>
  <c r="M639" i="6"/>
  <c r="N636" i="6"/>
  <c r="N634" i="6" s="1"/>
  <c r="L634" i="6"/>
  <c r="P633" i="6"/>
  <c r="O633" i="6"/>
  <c r="P630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4" i="6"/>
  <c r="I594" i="6"/>
  <c r="J593" i="6"/>
  <c r="I593" i="6"/>
  <c r="J592" i="6"/>
  <c r="J583" i="6"/>
  <c r="J582" i="6"/>
  <c r="J576" i="6" s="1"/>
  <c r="J559" i="6" s="1"/>
  <c r="J543" i="6" s="1"/>
  <c r="J577" i="6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P555" i="6"/>
  <c r="N555" i="6"/>
  <c r="M555" i="6"/>
  <c r="N549" i="6"/>
  <c r="N547" i="6" s="1"/>
  <c r="L549" i="6"/>
  <c r="M549" i="6" s="1"/>
  <c r="P548" i="6"/>
  <c r="O548" i="6"/>
  <c r="N546" i="6"/>
  <c r="N545" i="6"/>
  <c r="M545" i="6"/>
  <c r="L545" i="6"/>
  <c r="O545" i="6" s="1"/>
  <c r="I542" i="6"/>
  <c r="K542" i="6" s="1"/>
  <c r="I541" i="6"/>
  <c r="K541" i="6" s="1"/>
  <c r="I540" i="6"/>
  <c r="K540" i="6" s="1"/>
  <c r="I539" i="6"/>
  <c r="I538" i="6"/>
  <c r="K538" i="6" s="1"/>
  <c r="I537" i="6"/>
  <c r="K537" i="6" s="1"/>
  <c r="P535" i="6"/>
  <c r="L535" i="6"/>
  <c r="P534" i="6"/>
  <c r="O534" i="6"/>
  <c r="N533" i="6"/>
  <c r="M533" i="6"/>
  <c r="P533" i="6" s="1"/>
  <c r="P528" i="6"/>
  <c r="N528" i="6"/>
  <c r="L528" i="6"/>
  <c r="P527" i="6"/>
  <c r="O527" i="6"/>
  <c r="M526" i="6"/>
  <c r="P526" i="6" s="1"/>
  <c r="M525" i="6"/>
  <c r="P524" i="6"/>
  <c r="N524" i="6"/>
  <c r="M524" i="6"/>
  <c r="L524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4" i="6" s="1"/>
  <c r="P506" i="6"/>
  <c r="O506" i="6"/>
  <c r="M505" i="6"/>
  <c r="P505" i="6" s="1"/>
  <c r="L505" i="6"/>
  <c r="O505" i="6" s="1"/>
  <c r="P504" i="6"/>
  <c r="M504" i="6"/>
  <c r="L504" i="6"/>
  <c r="O504" i="6" s="1"/>
  <c r="P503" i="6"/>
  <c r="O503" i="6"/>
  <c r="N503" i="6"/>
  <c r="M503" i="6"/>
  <c r="L503" i="6"/>
  <c r="L502" i="6" s="1"/>
  <c r="P502" i="6"/>
  <c r="O502" i="6"/>
  <c r="N502" i="6"/>
  <c r="M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2" i="6"/>
  <c r="N470" i="6" s="1"/>
  <c r="L472" i="6"/>
  <c r="P471" i="6"/>
  <c r="O471" i="6"/>
  <c r="N469" i="6"/>
  <c r="P468" i="6"/>
  <c r="O468" i="6"/>
  <c r="N468" i="6"/>
  <c r="N467" i="6" s="1"/>
  <c r="M468" i="6"/>
  <c r="L468" i="6"/>
  <c r="J466" i="6"/>
  <c r="I466" i="6"/>
  <c r="K466" i="6" s="1"/>
  <c r="J465" i="6"/>
  <c r="I465" i="6"/>
  <c r="K465" i="6" s="1"/>
  <c r="I464" i="6"/>
  <c r="I463" i="6"/>
  <c r="I462" i="6"/>
  <c r="I460" i="6"/>
  <c r="K458" i="6"/>
  <c r="P456" i="6"/>
  <c r="L456" i="6"/>
  <c r="O456" i="6" s="1"/>
  <c r="P455" i="6"/>
  <c r="O455" i="6"/>
  <c r="N454" i="6"/>
  <c r="M454" i="6"/>
  <c r="P454" i="6" s="1"/>
  <c r="P449" i="6"/>
  <c r="N449" i="6"/>
  <c r="N33" i="6" s="1"/>
  <c r="L449" i="6"/>
  <c r="P448" i="6"/>
  <c r="O448" i="6"/>
  <c r="M447" i="6"/>
  <c r="P447" i="6" s="1"/>
  <c r="M446" i="6"/>
  <c r="P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I435" i="6"/>
  <c r="K435" i="6" s="1"/>
  <c r="J434" i="6"/>
  <c r="J418" i="6" s="1"/>
  <c r="P431" i="6"/>
  <c r="L431" i="6"/>
  <c r="O431" i="6" s="1"/>
  <c r="P430" i="6"/>
  <c r="O430" i="6"/>
  <c r="N429" i="6"/>
  <c r="M429" i="6"/>
  <c r="P429" i="6" s="1"/>
  <c r="N424" i="6"/>
  <c r="L424" i="6"/>
  <c r="P423" i="6"/>
  <c r="O423" i="6"/>
  <c r="N422" i="6"/>
  <c r="N421" i="6"/>
  <c r="N419" i="6" s="1"/>
  <c r="N420" i="6"/>
  <c r="M420" i="6"/>
  <c r="L420" i="6"/>
  <c r="O420" i="6" s="1"/>
  <c r="K413" i="6"/>
  <c r="K412" i="6"/>
  <c r="N410" i="6"/>
  <c r="N408" i="6" s="1"/>
  <c r="M410" i="6"/>
  <c r="P410" i="6" s="1"/>
  <c r="L410" i="6"/>
  <c r="O410" i="6" s="1"/>
  <c r="P409" i="6"/>
  <c r="O409" i="6"/>
  <c r="N407" i="6"/>
  <c r="N405" i="6" s="1"/>
  <c r="M407" i="6"/>
  <c r="P407" i="6" s="1"/>
  <c r="L407" i="6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P396" i="6"/>
  <c r="O396" i="6"/>
  <c r="N394" i="6"/>
  <c r="N392" i="6" s="1"/>
  <c r="M394" i="6"/>
  <c r="L394" i="6"/>
  <c r="L392" i="6" s="1"/>
  <c r="O392" i="6" s="1"/>
  <c r="P393" i="6"/>
  <c r="O393" i="6"/>
  <c r="N390" i="6"/>
  <c r="M390" i="6"/>
  <c r="L390" i="6"/>
  <c r="O390" i="6" s="1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L350" i="6"/>
  <c r="P349" i="6"/>
  <c r="O349" i="6"/>
  <c r="N346" i="6"/>
  <c r="M346" i="6"/>
  <c r="L346" i="6"/>
  <c r="J343" i="6"/>
  <c r="J342" i="6"/>
  <c r="J341" i="6"/>
  <c r="J340" i="6"/>
  <c r="I340" i="6"/>
  <c r="J338" i="6"/>
  <c r="I338" i="6"/>
  <c r="N336" i="6"/>
  <c r="M336" i="6"/>
  <c r="L336" i="6"/>
  <c r="P335" i="6"/>
  <c r="O335" i="6"/>
  <c r="N333" i="6"/>
  <c r="N331" i="6" s="1"/>
  <c r="M333" i="6"/>
  <c r="M331" i="6" s="1"/>
  <c r="L333" i="6"/>
  <c r="P332" i="6"/>
  <c r="O332" i="6"/>
  <c r="N329" i="6"/>
  <c r="M329" i="6"/>
  <c r="L329" i="6"/>
  <c r="O329" i="6" s="1"/>
  <c r="I327" i="6"/>
  <c r="I325" i="6"/>
  <c r="N323" i="6"/>
  <c r="M323" i="6"/>
  <c r="M321" i="6" s="1"/>
  <c r="P321" i="6" s="1"/>
  <c r="L323" i="6"/>
  <c r="O323" i="6" s="1"/>
  <c r="P322" i="6"/>
  <c r="O322" i="6"/>
  <c r="N320" i="6"/>
  <c r="N318" i="6" s="1"/>
  <c r="M320" i="6"/>
  <c r="L320" i="6"/>
  <c r="O320" i="6" s="1"/>
  <c r="P319" i="6"/>
  <c r="O319" i="6"/>
  <c r="O316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P305" i="6"/>
  <c r="O305" i="6"/>
  <c r="N303" i="6"/>
  <c r="N301" i="6" s="1"/>
  <c r="M303" i="6"/>
  <c r="M301" i="6" s="1"/>
  <c r="L303" i="6"/>
  <c r="P302" i="6"/>
  <c r="O302" i="6"/>
  <c r="N299" i="6"/>
  <c r="M299" i="6"/>
  <c r="P299" i="6" s="1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M283" i="6" s="1"/>
  <c r="P283" i="6" s="1"/>
  <c r="L285" i="6"/>
  <c r="O285" i="6" s="1"/>
  <c r="P284" i="6"/>
  <c r="O284" i="6"/>
  <c r="N282" i="6"/>
  <c r="M282" i="6"/>
  <c r="M280" i="6" s="1"/>
  <c r="P280" i="6" s="1"/>
  <c r="L282" i="6"/>
  <c r="O282" i="6" s="1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P269" i="6" s="1"/>
  <c r="L269" i="6"/>
  <c r="O269" i="6" s="1"/>
  <c r="P268" i="6"/>
  <c r="O268" i="6"/>
  <c r="N266" i="6"/>
  <c r="N264" i="6" s="1"/>
  <c r="M266" i="6"/>
  <c r="M264" i="6" s="1"/>
  <c r="L266" i="6"/>
  <c r="P265" i="6"/>
  <c r="O265" i="6"/>
  <c r="O262" i="6"/>
  <c r="N262" i="6"/>
  <c r="M262" i="6"/>
  <c r="P262" i="6" s="1"/>
  <c r="L262" i="6"/>
  <c r="J260" i="6"/>
  <c r="K258" i="6"/>
  <c r="K257" i="6"/>
  <c r="I248" i="6"/>
  <c r="K248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36" i="6"/>
  <c r="I236" i="6"/>
  <c r="K236" i="6" s="1"/>
  <c r="K235" i="6"/>
  <c r="J235" i="6"/>
  <c r="I235" i="6"/>
  <c r="J233" i="6"/>
  <c r="N231" i="6"/>
  <c r="N230" i="6"/>
  <c r="N229" i="6"/>
  <c r="N228" i="6"/>
  <c r="J226" i="6"/>
  <c r="J180" i="6" s="1"/>
  <c r="I225" i="6"/>
  <c r="K225" i="6" s="1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L191" i="6"/>
  <c r="O191" i="6" s="1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M184" i="6" s="1"/>
  <c r="L186" i="6"/>
  <c r="L184" i="6" s="1"/>
  <c r="P185" i="6"/>
  <c r="O185" i="6"/>
  <c r="N182" i="6"/>
  <c r="M182" i="6"/>
  <c r="L182" i="6"/>
  <c r="O182" i="6" s="1"/>
  <c r="J177" i="6"/>
  <c r="I176" i="6"/>
  <c r="K176" i="6" s="1"/>
  <c r="J174" i="6"/>
  <c r="N173" i="6"/>
  <c r="N171" i="6" s="1"/>
  <c r="M173" i="6"/>
  <c r="P173" i="6" s="1"/>
  <c r="L173" i="6"/>
  <c r="O173" i="6" s="1"/>
  <c r="P172" i="6"/>
  <c r="O172" i="6"/>
  <c r="N170" i="6"/>
  <c r="N168" i="6" s="1"/>
  <c r="M170" i="6"/>
  <c r="M168" i="6" s="1"/>
  <c r="L170" i="6"/>
  <c r="L168" i="6" s="1"/>
  <c r="P169" i="6"/>
  <c r="O169" i="6"/>
  <c r="N166" i="6"/>
  <c r="M166" i="6"/>
  <c r="L166" i="6"/>
  <c r="O166" i="6" s="1"/>
  <c r="J164" i="6"/>
  <c r="I159" i="6"/>
  <c r="N157" i="6"/>
  <c r="N155" i="6" s="1"/>
  <c r="M157" i="6"/>
  <c r="P157" i="6" s="1"/>
  <c r="L157" i="6"/>
  <c r="L155" i="6" s="1"/>
  <c r="O155" i="6" s="1"/>
  <c r="P156" i="6"/>
  <c r="O156" i="6"/>
  <c r="N154" i="6"/>
  <c r="N152" i="6" s="1"/>
  <c r="M154" i="6"/>
  <c r="M152" i="6" s="1"/>
  <c r="L154" i="6"/>
  <c r="L152" i="6" s="1"/>
  <c r="P153" i="6"/>
  <c r="O153" i="6"/>
  <c r="O150" i="6"/>
  <c r="N150" i="6"/>
  <c r="M150" i="6"/>
  <c r="P150" i="6" s="1"/>
  <c r="L150" i="6"/>
  <c r="J148" i="6"/>
  <c r="I146" i="6"/>
  <c r="I145" i="6"/>
  <c r="K145" i="6" s="1"/>
  <c r="I144" i="6"/>
  <c r="K144" i="6" s="1"/>
  <c r="N140" i="6"/>
  <c r="N138" i="6" s="1"/>
  <c r="M140" i="6"/>
  <c r="L140" i="6"/>
  <c r="O140" i="6" s="1"/>
  <c r="P139" i="6"/>
  <c r="O139" i="6"/>
  <c r="N137" i="6"/>
  <c r="N135" i="6" s="1"/>
  <c r="M137" i="6"/>
  <c r="L137" i="6"/>
  <c r="O137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M122" i="6" s="1"/>
  <c r="P122" i="6" s="1"/>
  <c r="L124" i="6"/>
  <c r="L122" i="6" s="1"/>
  <c r="O122" i="6" s="1"/>
  <c r="P123" i="6"/>
  <c r="O123" i="6"/>
  <c r="O120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K98" i="6" s="1"/>
  <c r="N96" i="6"/>
  <c r="N94" i="6" s="1"/>
  <c r="M96" i="6"/>
  <c r="P96" i="6" s="1"/>
  <c r="L96" i="6"/>
  <c r="O96" i="6" s="1"/>
  <c r="P95" i="6"/>
  <c r="O95" i="6"/>
  <c r="N93" i="6"/>
  <c r="M93" i="6"/>
  <c r="L93" i="6"/>
  <c r="P92" i="6"/>
  <c r="O92" i="6"/>
  <c r="N89" i="6"/>
  <c r="M89" i="6"/>
  <c r="L89" i="6"/>
  <c r="O89" i="6" s="1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J77" i="6"/>
  <c r="J76" i="6"/>
  <c r="J64" i="6" s="1"/>
  <c r="N74" i="6"/>
  <c r="N72" i="6" s="1"/>
  <c r="M74" i="6"/>
  <c r="P74" i="6" s="1"/>
  <c r="L74" i="6"/>
  <c r="P73" i="6"/>
  <c r="O73" i="6"/>
  <c r="N71" i="6"/>
  <c r="M71" i="6"/>
  <c r="M69" i="6" s="1"/>
  <c r="L71" i="6"/>
  <c r="P70" i="6"/>
  <c r="O70" i="6"/>
  <c r="P67" i="6"/>
  <c r="N67" i="6"/>
  <c r="M67" i="6"/>
  <c r="L67" i="6"/>
  <c r="J65" i="6"/>
  <c r="N61" i="6"/>
  <c r="M61" i="6"/>
  <c r="M59" i="6" s="1"/>
  <c r="L61" i="6"/>
  <c r="L59" i="6" s="1"/>
  <c r="P60" i="6"/>
  <c r="O60" i="6"/>
  <c r="N58" i="6"/>
  <c r="M58" i="6"/>
  <c r="L58" i="6"/>
  <c r="P57" i="6"/>
  <c r="O57" i="6"/>
  <c r="N54" i="6"/>
  <c r="M54" i="6"/>
  <c r="P54" i="6" s="1"/>
  <c r="L54" i="6"/>
  <c r="N49" i="6"/>
  <c r="N47" i="6" s="1"/>
  <c r="M49" i="6"/>
  <c r="L49" i="6"/>
  <c r="O49" i="6" s="1"/>
  <c r="P48" i="6"/>
  <c r="O48" i="6"/>
  <c r="N46" i="6"/>
  <c r="N44" i="6" s="1"/>
  <c r="M46" i="6"/>
  <c r="L46" i="6"/>
  <c r="P45" i="6"/>
  <c r="O45" i="6"/>
  <c r="P42" i="6"/>
  <c r="N42" i="6"/>
  <c r="M42" i="6"/>
  <c r="L42" i="6"/>
  <c r="N36" i="6"/>
  <c r="N34" i="6" s="1"/>
  <c r="M36" i="6"/>
  <c r="P36" i="6" s="1"/>
  <c r="P35" i="6"/>
  <c r="N35" i="6"/>
  <c r="M35" i="6"/>
  <c r="L35" i="6"/>
  <c r="O35" i="6" s="1"/>
  <c r="O32" i="6"/>
  <c r="N32" i="6"/>
  <c r="M32" i="6"/>
  <c r="P32" i="6" s="1"/>
  <c r="L32" i="6"/>
  <c r="N29" i="6"/>
  <c r="L29" i="6"/>
  <c r="O29" i="6" s="1"/>
  <c r="O25" i="6"/>
  <c r="N25" i="6"/>
  <c r="M25" i="6"/>
  <c r="M15" i="6" s="1"/>
  <c r="L25" i="6"/>
  <c r="P22" i="6"/>
  <c r="N22" i="6"/>
  <c r="M22" i="6"/>
  <c r="L22" i="6"/>
  <c r="N19" i="6"/>
  <c r="M19" i="6"/>
  <c r="P19" i="6" s="1"/>
  <c r="N15" i="6"/>
  <c r="N12" i="6"/>
  <c r="M12" i="6"/>
  <c r="N9" i="6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N815" i="5"/>
  <c r="M815" i="5"/>
  <c r="P815" i="5" s="1"/>
  <c r="L815" i="5"/>
  <c r="O815" i="5" s="1"/>
  <c r="P810" i="5"/>
  <c r="O810" i="5"/>
  <c r="N810" i="5"/>
  <c r="N807" i="5" s="1"/>
  <c r="P809" i="5"/>
  <c r="O809" i="5"/>
  <c r="P808" i="5"/>
  <c r="M808" i="5"/>
  <c r="L808" i="5"/>
  <c r="O808" i="5" s="1"/>
  <c r="P807" i="5"/>
  <c r="O807" i="5"/>
  <c r="M807" i="5"/>
  <c r="L807" i="5"/>
  <c r="P806" i="5"/>
  <c r="O806" i="5"/>
  <c r="N806" i="5"/>
  <c r="N805" i="5" s="1"/>
  <c r="M806" i="5"/>
  <c r="L806" i="5"/>
  <c r="L805" i="5" s="1"/>
  <c r="O805" i="5" s="1"/>
  <c r="M805" i="5"/>
  <c r="P805" i="5" s="1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N796" i="5"/>
  <c r="M796" i="5"/>
  <c r="P796" i="5" s="1"/>
  <c r="L796" i="5"/>
  <c r="O796" i="5" s="1"/>
  <c r="P791" i="5"/>
  <c r="N791" i="5"/>
  <c r="N788" i="5" s="1"/>
  <c r="L791" i="5"/>
  <c r="L789" i="5" s="1"/>
  <c r="O789" i="5" s="1"/>
  <c r="P790" i="5"/>
  <c r="O790" i="5"/>
  <c r="P789" i="5"/>
  <c r="N789" i="5"/>
  <c r="M789" i="5"/>
  <c r="P788" i="5"/>
  <c r="M788" i="5"/>
  <c r="P787" i="5"/>
  <c r="O787" i="5"/>
  <c r="N787" i="5"/>
  <c r="M787" i="5"/>
  <c r="L787" i="5"/>
  <c r="M786" i="5"/>
  <c r="P786" i="5" s="1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2" i="5" s="1"/>
  <c r="N770" i="5" s="1"/>
  <c r="P774" i="5"/>
  <c r="O774" i="5"/>
  <c r="N773" i="5"/>
  <c r="M773" i="5"/>
  <c r="P773" i="5" s="1"/>
  <c r="L773" i="5"/>
  <c r="O773" i="5" s="1"/>
  <c r="P772" i="5"/>
  <c r="M772" i="5"/>
  <c r="L772" i="5"/>
  <c r="O772" i="5" s="1"/>
  <c r="P771" i="5"/>
  <c r="O771" i="5"/>
  <c r="N771" i="5"/>
  <c r="M771" i="5"/>
  <c r="M770" i="5" s="1"/>
  <c r="P770" i="5" s="1"/>
  <c r="L771" i="5"/>
  <c r="L770" i="5" s="1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6" i="5" s="1"/>
  <c r="P758" i="5"/>
  <c r="O758" i="5"/>
  <c r="N757" i="5"/>
  <c r="M757" i="5"/>
  <c r="P757" i="5" s="1"/>
  <c r="L757" i="5"/>
  <c r="O757" i="5" s="1"/>
  <c r="P756" i="5"/>
  <c r="M756" i="5"/>
  <c r="L756" i="5"/>
  <c r="O756" i="5" s="1"/>
  <c r="P755" i="5"/>
  <c r="O755" i="5"/>
  <c r="N755" i="5"/>
  <c r="M755" i="5"/>
  <c r="M754" i="5" s="1"/>
  <c r="P754" i="5" s="1"/>
  <c r="L755" i="5"/>
  <c r="L754" i="5" s="1"/>
  <c r="O754" i="5" s="1"/>
  <c r="N754" i="5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39" i="5" s="1"/>
  <c r="N737" i="5" s="1"/>
  <c r="P741" i="5"/>
  <c r="O741" i="5"/>
  <c r="N740" i="5"/>
  <c r="M740" i="5"/>
  <c r="P740" i="5" s="1"/>
  <c r="L740" i="5"/>
  <c r="O740" i="5" s="1"/>
  <c r="P739" i="5"/>
  <c r="M739" i="5"/>
  <c r="L739" i="5"/>
  <c r="O739" i="5" s="1"/>
  <c r="P738" i="5"/>
  <c r="O738" i="5"/>
  <c r="N738" i="5"/>
  <c r="M738" i="5"/>
  <c r="M737" i="5" s="1"/>
  <c r="P737" i="5" s="1"/>
  <c r="L738" i="5"/>
  <c r="L737" i="5" s="1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O690" i="5" s="1"/>
  <c r="P688" i="5"/>
  <c r="M688" i="5"/>
  <c r="P687" i="5"/>
  <c r="M687" i="5"/>
  <c r="P686" i="5"/>
  <c r="O686" i="5"/>
  <c r="N686" i="5"/>
  <c r="N685" i="5" s="1"/>
  <c r="M686" i="5"/>
  <c r="L686" i="5"/>
  <c r="M685" i="5"/>
  <c r="P685" i="5" s="1"/>
  <c r="J679" i="5"/>
  <c r="J678" i="5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P665" i="5"/>
  <c r="O665" i="5"/>
  <c r="N665" i="5"/>
  <c r="M665" i="5"/>
  <c r="L665" i="5"/>
  <c r="P660" i="5"/>
  <c r="N660" i="5"/>
  <c r="L660" i="5"/>
  <c r="L657" i="5" s="1"/>
  <c r="P659" i="5"/>
  <c r="O659" i="5"/>
  <c r="N658" i="5"/>
  <c r="M658" i="5"/>
  <c r="P658" i="5" s="1"/>
  <c r="N657" i="5"/>
  <c r="M657" i="5"/>
  <c r="P657" i="5" s="1"/>
  <c r="N656" i="5"/>
  <c r="N655" i="5" s="1"/>
  <c r="M656" i="5"/>
  <c r="P656" i="5" s="1"/>
  <c r="L656" i="5"/>
  <c r="O656" i="5" s="1"/>
  <c r="P655" i="5"/>
  <c r="M655" i="5"/>
  <c r="J654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N638" i="5"/>
  <c r="N634" i="5" s="1"/>
  <c r="L634" i="5"/>
  <c r="L632" i="5" s="1"/>
  <c r="P633" i="5"/>
  <c r="O633" i="5"/>
  <c r="P630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594" i="5" s="1"/>
  <c r="J603" i="5"/>
  <c r="J596" i="5"/>
  <c r="J595" i="5"/>
  <c r="J593" i="5" s="1"/>
  <c r="J592" i="5" s="1"/>
  <c r="I594" i="5"/>
  <c r="I593" i="5"/>
  <c r="K593" i="5" s="1"/>
  <c r="J583" i="5"/>
  <c r="J582" i="5"/>
  <c r="J577" i="5"/>
  <c r="I577" i="5"/>
  <c r="K577" i="5" s="1"/>
  <c r="J576" i="5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P556" i="5"/>
  <c r="O556" i="5"/>
  <c r="P555" i="5"/>
  <c r="N555" i="5"/>
  <c r="M555" i="5"/>
  <c r="N553" i="5"/>
  <c r="N552" i="5"/>
  <c r="N549" i="5" s="1"/>
  <c r="L549" i="5"/>
  <c r="P548" i="5"/>
  <c r="O548" i="5"/>
  <c r="P545" i="5"/>
  <c r="O545" i="5"/>
  <c r="N545" i="5"/>
  <c r="M545" i="5"/>
  <c r="L545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P535" i="5"/>
  <c r="L535" i="5"/>
  <c r="O535" i="5" s="1"/>
  <c r="P534" i="5"/>
  <c r="O534" i="5"/>
  <c r="P533" i="5"/>
  <c r="N533" i="5"/>
  <c r="M533" i="5"/>
  <c r="N532" i="5"/>
  <c r="N528" i="5" s="1"/>
  <c r="L528" i="5"/>
  <c r="P527" i="5"/>
  <c r="O527" i="5"/>
  <c r="P524" i="5"/>
  <c r="O524" i="5"/>
  <c r="N524" i="5"/>
  <c r="M524" i="5"/>
  <c r="L524" i="5"/>
  <c r="K517" i="5"/>
  <c r="J517" i="5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P504" i="5"/>
  <c r="O504" i="5"/>
  <c r="N504" i="5"/>
  <c r="N502" i="5" s="1"/>
  <c r="M504" i="5"/>
  <c r="L504" i="5"/>
  <c r="O503" i="5"/>
  <c r="N503" i="5"/>
  <c r="M503" i="5"/>
  <c r="L503" i="5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6" i="5"/>
  <c r="N474" i="5"/>
  <c r="N472" i="5" s="1"/>
  <c r="N473" i="5"/>
  <c r="L472" i="5"/>
  <c r="P471" i="5"/>
  <c r="O471" i="5"/>
  <c r="N468" i="5"/>
  <c r="M468" i="5"/>
  <c r="P468" i="5" s="1"/>
  <c r="L468" i="5"/>
  <c r="O468" i="5" s="1"/>
  <c r="J466" i="5"/>
  <c r="I466" i="5"/>
  <c r="J465" i="5"/>
  <c r="I465" i="5"/>
  <c r="K465" i="5" s="1"/>
  <c r="I464" i="5"/>
  <c r="I463" i="5"/>
  <c r="I462" i="5"/>
  <c r="I443" i="5" s="1"/>
  <c r="K443" i="5" s="1"/>
  <c r="I460" i="5"/>
  <c r="I442" i="5" s="1"/>
  <c r="K458" i="5"/>
  <c r="P456" i="5"/>
  <c r="L456" i="5"/>
  <c r="P455" i="5"/>
  <c r="O455" i="5"/>
  <c r="P454" i="5"/>
  <c r="N454" i="5"/>
  <c r="M454" i="5"/>
  <c r="N453" i="5"/>
  <c r="N449" i="5" s="1"/>
  <c r="L449" i="5"/>
  <c r="L447" i="5" s="1"/>
  <c r="P448" i="5"/>
  <c r="O448" i="5"/>
  <c r="P445" i="5"/>
  <c r="O445" i="5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I435" i="5"/>
  <c r="I433" i="5" s="1"/>
  <c r="I417" i="5" s="1"/>
  <c r="J434" i="5"/>
  <c r="P431" i="5"/>
  <c r="L431" i="5"/>
  <c r="O431" i="5" s="1"/>
  <c r="P430" i="5"/>
  <c r="O430" i="5"/>
  <c r="N429" i="5"/>
  <c r="M429" i="5"/>
  <c r="P429" i="5" s="1"/>
  <c r="N428" i="5"/>
  <c r="N424" i="5" s="1"/>
  <c r="L424" i="5"/>
  <c r="M424" i="5" s="1"/>
  <c r="P423" i="5"/>
  <c r="O423" i="5"/>
  <c r="P420" i="5"/>
  <c r="N420" i="5"/>
  <c r="M420" i="5"/>
  <c r="L420" i="5"/>
  <c r="O420" i="5" s="1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P407" i="5" s="1"/>
  <c r="L407" i="5"/>
  <c r="O407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M392" i="5" s="1"/>
  <c r="P392" i="5" s="1"/>
  <c r="L394" i="5"/>
  <c r="L392" i="5" s="1"/>
  <c r="O392" i="5" s="1"/>
  <c r="P393" i="5"/>
  <c r="O393" i="5"/>
  <c r="P390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N348" i="5" s="1"/>
  <c r="M350" i="5"/>
  <c r="L350" i="5"/>
  <c r="L348" i="5" s="1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M334" i="5" s="1"/>
  <c r="L336" i="5"/>
  <c r="P335" i="5"/>
  <c r="O335" i="5"/>
  <c r="N333" i="5"/>
  <c r="M333" i="5"/>
  <c r="L333" i="5"/>
  <c r="L331" i="5" s="1"/>
  <c r="P332" i="5"/>
  <c r="O332" i="5"/>
  <c r="P329" i="5"/>
  <c r="O329" i="5"/>
  <c r="N329" i="5"/>
  <c r="M329" i="5"/>
  <c r="L329" i="5"/>
  <c r="I327" i="5"/>
  <c r="I325" i="5"/>
  <c r="I314" i="5" s="1"/>
  <c r="K314" i="5" s="1"/>
  <c r="N323" i="5"/>
  <c r="N321" i="5" s="1"/>
  <c r="M323" i="5"/>
  <c r="M321" i="5" s="1"/>
  <c r="P321" i="5" s="1"/>
  <c r="L323" i="5"/>
  <c r="O323" i="5" s="1"/>
  <c r="P322" i="5"/>
  <c r="O322" i="5"/>
  <c r="N320" i="5"/>
  <c r="N318" i="5" s="1"/>
  <c r="M320" i="5"/>
  <c r="L320" i="5"/>
  <c r="P319" i="5"/>
  <c r="O319" i="5"/>
  <c r="P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N304" i="5" s="1"/>
  <c r="M306" i="5"/>
  <c r="L306" i="5"/>
  <c r="L304" i="5" s="1"/>
  <c r="O304" i="5" s="1"/>
  <c r="P305" i="5"/>
  <c r="O305" i="5"/>
  <c r="N303" i="5"/>
  <c r="N301" i="5" s="1"/>
  <c r="M303" i="5"/>
  <c r="L303" i="5"/>
  <c r="L301" i="5" s="1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L282" i="5"/>
  <c r="L280" i="5" s="1"/>
  <c r="P281" i="5"/>
  <c r="O281" i="5"/>
  <c r="P278" i="5"/>
  <c r="O278" i="5"/>
  <c r="N278" i="5"/>
  <c r="M278" i="5"/>
  <c r="L278" i="5"/>
  <c r="J276" i="5"/>
  <c r="I271" i="5"/>
  <c r="K271" i="5" s="1"/>
  <c r="N269" i="5"/>
  <c r="N267" i="5" s="1"/>
  <c r="M269" i="5"/>
  <c r="L269" i="5"/>
  <c r="L267" i="5" s="1"/>
  <c r="O267" i="5" s="1"/>
  <c r="P268" i="5"/>
  <c r="O268" i="5"/>
  <c r="N266" i="5"/>
  <c r="N264" i="5" s="1"/>
  <c r="M266" i="5"/>
  <c r="M264" i="5" s="1"/>
  <c r="L266" i="5"/>
  <c r="L264" i="5" s="1"/>
  <c r="P265" i="5"/>
  <c r="O265" i="5"/>
  <c r="O262" i="5"/>
  <c r="N262" i="5"/>
  <c r="M262" i="5"/>
  <c r="L262" i="5"/>
  <c r="J260" i="5"/>
  <c r="K258" i="5"/>
  <c r="K257" i="5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N227" i="5" s="1"/>
  <c r="J237" i="5"/>
  <c r="J236" i="5"/>
  <c r="I236" i="5"/>
  <c r="K236" i="5" s="1"/>
  <c r="J235" i="5"/>
  <c r="K235" i="5" s="1"/>
  <c r="I235" i="5"/>
  <c r="J233" i="5"/>
  <c r="N231" i="5"/>
  <c r="N230" i="5"/>
  <c r="N229" i="5"/>
  <c r="N228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N184" i="5" s="1"/>
  <c r="M186" i="5"/>
  <c r="M184" i="5" s="1"/>
  <c r="L186" i="5"/>
  <c r="P185" i="5"/>
  <c r="O185" i="5"/>
  <c r="N182" i="5"/>
  <c r="M182" i="5"/>
  <c r="L182" i="5"/>
  <c r="O182" i="5" s="1"/>
  <c r="J177" i="5"/>
  <c r="I176" i="5"/>
  <c r="K176" i="5" s="1"/>
  <c r="J174" i="5"/>
  <c r="J164" i="5" s="1"/>
  <c r="N173" i="5"/>
  <c r="N171" i="5" s="1"/>
  <c r="M173" i="5"/>
  <c r="P173" i="5" s="1"/>
  <c r="L173" i="5"/>
  <c r="O173" i="5" s="1"/>
  <c r="P172" i="5"/>
  <c r="O172" i="5"/>
  <c r="N170" i="5"/>
  <c r="N168" i="5" s="1"/>
  <c r="M170" i="5"/>
  <c r="M168" i="5" s="1"/>
  <c r="P168" i="5" s="1"/>
  <c r="L170" i="5"/>
  <c r="O170" i="5" s="1"/>
  <c r="P169" i="5"/>
  <c r="O169" i="5"/>
  <c r="P166" i="5"/>
  <c r="N166" i="5"/>
  <c r="M166" i="5"/>
  <c r="L166" i="5"/>
  <c r="O166" i="5" s="1"/>
  <c r="I159" i="5"/>
  <c r="I148" i="5" s="1"/>
  <c r="K148" i="5" s="1"/>
  <c r="N157" i="5"/>
  <c r="N155" i="5" s="1"/>
  <c r="M157" i="5"/>
  <c r="L157" i="5"/>
  <c r="P156" i="5"/>
  <c r="O156" i="5"/>
  <c r="N154" i="5"/>
  <c r="N152" i="5" s="1"/>
  <c r="M154" i="5"/>
  <c r="P154" i="5" s="1"/>
  <c r="L154" i="5"/>
  <c r="P153" i="5"/>
  <c r="O153" i="5"/>
  <c r="O150" i="5"/>
  <c r="N150" i="5"/>
  <c r="M150" i="5"/>
  <c r="P150" i="5" s="1"/>
  <c r="L150" i="5"/>
  <c r="J148" i="5"/>
  <c r="I146" i="5"/>
  <c r="I145" i="5"/>
  <c r="I143" i="5" s="1"/>
  <c r="I144" i="5"/>
  <c r="N140" i="5"/>
  <c r="N138" i="5" s="1"/>
  <c r="M140" i="5"/>
  <c r="P140" i="5" s="1"/>
  <c r="L140" i="5"/>
  <c r="P139" i="5"/>
  <c r="O139" i="5"/>
  <c r="N137" i="5"/>
  <c r="N135" i="5" s="1"/>
  <c r="M137" i="5"/>
  <c r="L137" i="5"/>
  <c r="O137" i="5" s="1"/>
  <c r="P136" i="5"/>
  <c r="O136" i="5"/>
  <c r="P133" i="5"/>
  <c r="O133" i="5"/>
  <c r="N133" i="5"/>
  <c r="M133" i="5"/>
  <c r="L133" i="5"/>
  <c r="J130" i="5"/>
  <c r="N127" i="5"/>
  <c r="N125" i="5" s="1"/>
  <c r="M127" i="5"/>
  <c r="P127" i="5" s="1"/>
  <c r="L127" i="5"/>
  <c r="L125" i="5" s="1"/>
  <c r="O125" i="5" s="1"/>
  <c r="P126" i="5"/>
  <c r="O126" i="5"/>
  <c r="N124" i="5"/>
  <c r="M124" i="5"/>
  <c r="P124" i="5" s="1"/>
  <c r="L124" i="5"/>
  <c r="L122" i="5" s="1"/>
  <c r="O122" i="5" s="1"/>
  <c r="P123" i="5"/>
  <c r="O123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J86" i="5" s="1"/>
  <c r="I98" i="5"/>
  <c r="N96" i="5"/>
  <c r="N94" i="5" s="1"/>
  <c r="M96" i="5"/>
  <c r="P96" i="5" s="1"/>
  <c r="L96" i="5"/>
  <c r="O96" i="5" s="1"/>
  <c r="P95" i="5"/>
  <c r="O95" i="5"/>
  <c r="N93" i="5"/>
  <c r="M93" i="5"/>
  <c r="L93" i="5"/>
  <c r="P92" i="5"/>
  <c r="O92" i="5"/>
  <c r="N89" i="5"/>
  <c r="M89" i="5"/>
  <c r="P89" i="5" s="1"/>
  <c r="L89" i="5"/>
  <c r="J87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N74" i="5"/>
  <c r="N72" i="5" s="1"/>
  <c r="M74" i="5"/>
  <c r="P74" i="5" s="1"/>
  <c r="L74" i="5"/>
  <c r="O74" i="5" s="1"/>
  <c r="P73" i="5"/>
  <c r="O73" i="5"/>
  <c r="N71" i="5"/>
  <c r="M71" i="5"/>
  <c r="P71" i="5" s="1"/>
  <c r="L71" i="5"/>
  <c r="O71" i="5" s="1"/>
  <c r="P70" i="5"/>
  <c r="O70" i="5"/>
  <c r="P67" i="5"/>
  <c r="O67" i="5"/>
  <c r="N67" i="5"/>
  <c r="M67" i="5"/>
  <c r="L67" i="5"/>
  <c r="J64" i="5"/>
  <c r="N61" i="5"/>
  <c r="N59" i="5" s="1"/>
  <c r="M61" i="5"/>
  <c r="M59" i="5" s="1"/>
  <c r="L61" i="5"/>
  <c r="P60" i="5"/>
  <c r="O60" i="5"/>
  <c r="N58" i="5"/>
  <c r="N56" i="5" s="1"/>
  <c r="M58" i="5"/>
  <c r="L58" i="5"/>
  <c r="P57" i="5"/>
  <c r="O57" i="5"/>
  <c r="N54" i="5"/>
  <c r="M54" i="5"/>
  <c r="P54" i="5" s="1"/>
  <c r="L54" i="5"/>
  <c r="N49" i="5"/>
  <c r="N47" i="5" s="1"/>
  <c r="M49" i="5"/>
  <c r="P49" i="5" s="1"/>
  <c r="L49" i="5"/>
  <c r="O49" i="5" s="1"/>
  <c r="P48" i="5"/>
  <c r="O48" i="5"/>
  <c r="N46" i="5"/>
  <c r="N44" i="5" s="1"/>
  <c r="M46" i="5"/>
  <c r="L46" i="5"/>
  <c r="L44" i="5" s="1"/>
  <c r="P45" i="5"/>
  <c r="O45" i="5"/>
  <c r="P42" i="5"/>
  <c r="O42" i="5"/>
  <c r="N42" i="5"/>
  <c r="M42" i="5"/>
  <c r="L42" i="5"/>
  <c r="N36" i="5"/>
  <c r="M36" i="5"/>
  <c r="P36" i="5" s="1"/>
  <c r="P35" i="5"/>
  <c r="N35" i="5"/>
  <c r="N34" i="5" s="1"/>
  <c r="M35" i="5"/>
  <c r="M34" i="5" s="1"/>
  <c r="P34" i="5" s="1"/>
  <c r="L35" i="5"/>
  <c r="O35" i="5" s="1"/>
  <c r="N33" i="5"/>
  <c r="N30" i="5" s="1"/>
  <c r="O32" i="5"/>
  <c r="N32" i="5"/>
  <c r="M32" i="5"/>
  <c r="L32" i="5"/>
  <c r="L29" i="5"/>
  <c r="O29" i="5" s="1"/>
  <c r="O25" i="5"/>
  <c r="N25" i="5"/>
  <c r="M25" i="5"/>
  <c r="L25" i="5"/>
  <c r="P22" i="5"/>
  <c r="N22" i="5"/>
  <c r="M22" i="5"/>
  <c r="L22" i="5"/>
  <c r="O22" i="5" s="1"/>
  <c r="M19" i="5"/>
  <c r="P19" i="5" s="1"/>
  <c r="L15" i="5"/>
  <c r="O15" i="5" s="1"/>
  <c r="N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M805" i="4" s="1"/>
  <c r="P805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N789" i="4"/>
  <c r="M789" i="4"/>
  <c r="P789" i="4" s="1"/>
  <c r="M788" i="4"/>
  <c r="P788" i="4" s="1"/>
  <c r="P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3" i="4" s="1"/>
  <c r="P774" i="4"/>
  <c r="O774" i="4"/>
  <c r="O773" i="4"/>
  <c r="M773" i="4"/>
  <c r="P773" i="4" s="1"/>
  <c r="L773" i="4"/>
  <c r="N772" i="4"/>
  <c r="M772" i="4"/>
  <c r="P772" i="4" s="1"/>
  <c r="L772" i="4"/>
  <c r="O772" i="4" s="1"/>
  <c r="N771" i="4"/>
  <c r="N770" i="4" s="1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M739" i="4"/>
  <c r="P739" i="4" s="1"/>
  <c r="L739" i="4"/>
  <c r="O739" i="4" s="1"/>
  <c r="N738" i="4"/>
  <c r="N737" i="4" s="1"/>
  <c r="M738" i="4"/>
  <c r="L738" i="4"/>
  <c r="O738" i="4" s="1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L690" i="4"/>
  <c r="M690" i="4" s="1"/>
  <c r="P690" i="4" s="1"/>
  <c r="N687" i="4"/>
  <c r="N686" i="4"/>
  <c r="M686" i="4"/>
  <c r="L686" i="4"/>
  <c r="O686" i="4" s="1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P667" i="4"/>
  <c r="O667" i="4"/>
  <c r="P666" i="4"/>
  <c r="O666" i="4"/>
  <c r="N665" i="4"/>
  <c r="M665" i="4"/>
  <c r="P665" i="4" s="1"/>
  <c r="L665" i="4"/>
  <c r="O665" i="4" s="1"/>
  <c r="N664" i="4"/>
  <c r="N660" i="4" s="1"/>
  <c r="N657" i="4" s="1"/>
  <c r="L660" i="4"/>
  <c r="O660" i="4" s="1"/>
  <c r="P659" i="4"/>
  <c r="O659" i="4"/>
  <c r="N658" i="4"/>
  <c r="P656" i="4"/>
  <c r="N656" i="4"/>
  <c r="N655" i="4" s="1"/>
  <c r="M656" i="4"/>
  <c r="L656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P634" i="4"/>
  <c r="N634" i="4"/>
  <c r="N631" i="4" s="1"/>
  <c r="L634" i="4"/>
  <c r="P633" i="4"/>
  <c r="O633" i="4"/>
  <c r="P632" i="4"/>
  <c r="N632" i="4"/>
  <c r="M632" i="4"/>
  <c r="M631" i="4"/>
  <c r="P631" i="4" s="1"/>
  <c r="N630" i="4"/>
  <c r="N629" i="4" s="1"/>
  <c r="M630" i="4"/>
  <c r="P630" i="4" s="1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J592" i="4" s="1"/>
  <c r="I594" i="4"/>
  <c r="I593" i="4"/>
  <c r="J583" i="4"/>
  <c r="J577" i="4" s="1"/>
  <c r="J582" i="4"/>
  <c r="I577" i="4"/>
  <c r="K577" i="4" s="1"/>
  <c r="J576" i="4"/>
  <c r="J559" i="4" s="1"/>
  <c r="J543" i="4" s="1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P556" i="4"/>
  <c r="O556" i="4"/>
  <c r="N555" i="4"/>
  <c r="N545" i="4" s="1"/>
  <c r="N544" i="4" s="1"/>
  <c r="M555" i="4"/>
  <c r="P555" i="4" s="1"/>
  <c r="N549" i="4"/>
  <c r="L549" i="4"/>
  <c r="L547" i="4" s="1"/>
  <c r="P548" i="4"/>
  <c r="O548" i="4"/>
  <c r="N547" i="4"/>
  <c r="N546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N533" i="4"/>
  <c r="M533" i="4"/>
  <c r="P533" i="4" s="1"/>
  <c r="P528" i="4"/>
  <c r="N528" i="4"/>
  <c r="N525" i="4" s="1"/>
  <c r="L528" i="4"/>
  <c r="O528" i="4" s="1"/>
  <c r="P527" i="4"/>
  <c r="O527" i="4"/>
  <c r="P526" i="4"/>
  <c r="N526" i="4"/>
  <c r="M526" i="4"/>
  <c r="P525" i="4"/>
  <c r="M525" i="4"/>
  <c r="P524" i="4"/>
  <c r="O524" i="4"/>
  <c r="N524" i="4"/>
  <c r="N523" i="4" s="1"/>
  <c r="M524" i="4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P505" i="4"/>
  <c r="O505" i="4"/>
  <c r="N505" i="4"/>
  <c r="M505" i="4"/>
  <c r="L505" i="4"/>
  <c r="O504" i="4"/>
  <c r="N504" i="4"/>
  <c r="M504" i="4"/>
  <c r="P504" i="4" s="1"/>
  <c r="L504" i="4"/>
  <c r="N503" i="4"/>
  <c r="N502" i="4" s="1"/>
  <c r="M503" i="4"/>
  <c r="P503" i="4" s="1"/>
  <c r="L503" i="4"/>
  <c r="L502" i="4" s="1"/>
  <c r="O502" i="4" s="1"/>
  <c r="M502" i="4"/>
  <c r="P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2" i="4"/>
  <c r="L472" i="4"/>
  <c r="M472" i="4" s="1"/>
  <c r="P472" i="4" s="1"/>
  <c r="P471" i="4"/>
  <c r="O471" i="4"/>
  <c r="N469" i="4"/>
  <c r="O468" i="4"/>
  <c r="N468" i="4"/>
  <c r="M468" i="4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N454" i="4"/>
  <c r="M454" i="4"/>
  <c r="P454" i="4" s="1"/>
  <c r="N449" i="4"/>
  <c r="N447" i="4" s="1"/>
  <c r="L449" i="4"/>
  <c r="P448" i="4"/>
  <c r="O448" i="4"/>
  <c r="N446" i="4"/>
  <c r="P445" i="4"/>
  <c r="O445" i="4"/>
  <c r="N445" i="4"/>
  <c r="M445" i="4"/>
  <c r="L445" i="4"/>
  <c r="N444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K435" i="4" s="1"/>
  <c r="J434" i="4"/>
  <c r="J418" i="4" s="1"/>
  <c r="P431" i="4"/>
  <c r="L431" i="4"/>
  <c r="P430" i="4"/>
  <c r="O430" i="4"/>
  <c r="N429" i="4"/>
  <c r="M429" i="4"/>
  <c r="P429" i="4" s="1"/>
  <c r="N424" i="4"/>
  <c r="L424" i="4"/>
  <c r="P423" i="4"/>
  <c r="O423" i="4"/>
  <c r="N422" i="4"/>
  <c r="N421" i="4"/>
  <c r="P420" i="4"/>
  <c r="N420" i="4"/>
  <c r="N419" i="4" s="1"/>
  <c r="M420" i="4"/>
  <c r="L420" i="4"/>
  <c r="K413" i="4"/>
  <c r="K412" i="4"/>
  <c r="N410" i="4"/>
  <c r="M410" i="4"/>
  <c r="P410" i="4" s="1"/>
  <c r="L410" i="4"/>
  <c r="P409" i="4"/>
  <c r="O409" i="4"/>
  <c r="N407" i="4"/>
  <c r="N405" i="4" s="1"/>
  <c r="M407" i="4"/>
  <c r="M405" i="4" s="1"/>
  <c r="P405" i="4" s="1"/>
  <c r="L407" i="4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N331" i="4" s="1"/>
  <c r="M333" i="4"/>
  <c r="L333" i="4"/>
  <c r="L331" i="4" s="1"/>
  <c r="P332" i="4"/>
  <c r="O332" i="4"/>
  <c r="N329" i="4"/>
  <c r="M329" i="4"/>
  <c r="P329" i="4" s="1"/>
  <c r="L329" i="4"/>
  <c r="I327" i="4"/>
  <c r="I325" i="4"/>
  <c r="K325" i="4" s="1"/>
  <c r="N323" i="4"/>
  <c r="N321" i="4" s="1"/>
  <c r="M323" i="4"/>
  <c r="P323" i="4" s="1"/>
  <c r="L323" i="4"/>
  <c r="L321" i="4" s="1"/>
  <c r="O321" i="4" s="1"/>
  <c r="P322" i="4"/>
  <c r="O322" i="4"/>
  <c r="N320" i="4"/>
  <c r="M320" i="4"/>
  <c r="P320" i="4" s="1"/>
  <c r="L320" i="4"/>
  <c r="L318" i="4" s="1"/>
  <c r="O318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M304" i="4" s="1"/>
  <c r="P304" i="4" s="1"/>
  <c r="L306" i="4"/>
  <c r="O306" i="4" s="1"/>
  <c r="P305" i="4"/>
  <c r="O305" i="4"/>
  <c r="N303" i="4"/>
  <c r="M303" i="4"/>
  <c r="M301" i="4" s="1"/>
  <c r="L303" i="4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K288" i="4" s="1"/>
  <c r="I287" i="4"/>
  <c r="K287" i="4" s="1"/>
  <c r="N285" i="4"/>
  <c r="N283" i="4" s="1"/>
  <c r="M285" i="4"/>
  <c r="L285" i="4"/>
  <c r="L283" i="4" s="1"/>
  <c r="O283" i="4" s="1"/>
  <c r="P284" i="4"/>
  <c r="O284" i="4"/>
  <c r="N282" i="4"/>
  <c r="M282" i="4"/>
  <c r="L282" i="4"/>
  <c r="P281" i="4"/>
  <c r="O281" i="4"/>
  <c r="P278" i="4"/>
  <c r="N278" i="4"/>
  <c r="M278" i="4"/>
  <c r="L278" i="4"/>
  <c r="O278" i="4" s="1"/>
  <c r="J276" i="4"/>
  <c r="I271" i="4"/>
  <c r="K271" i="4" s="1"/>
  <c r="N269" i="4"/>
  <c r="N267" i="4" s="1"/>
  <c r="M269" i="4"/>
  <c r="M267" i="4" s="1"/>
  <c r="P267" i="4" s="1"/>
  <c r="L269" i="4"/>
  <c r="P268" i="4"/>
  <c r="O268" i="4"/>
  <c r="N266" i="4"/>
  <c r="M266" i="4"/>
  <c r="M264" i="4" s="1"/>
  <c r="L266" i="4"/>
  <c r="L264" i="4" s="1"/>
  <c r="P265" i="4"/>
  <c r="O265" i="4"/>
  <c r="P262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N227" i="4"/>
  <c r="J226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P188" i="4"/>
  <c r="O188" i="4"/>
  <c r="N186" i="4"/>
  <c r="M186" i="4"/>
  <c r="M184" i="4" s="1"/>
  <c r="L186" i="4"/>
  <c r="L184" i="4" s="1"/>
  <c r="P185" i="4"/>
  <c r="O185" i="4"/>
  <c r="O182" i="4"/>
  <c r="N182" i="4"/>
  <c r="M182" i="4"/>
  <c r="P182" i="4" s="1"/>
  <c r="L182" i="4"/>
  <c r="J180" i="4"/>
  <c r="J177" i="4"/>
  <c r="I176" i="4"/>
  <c r="J174" i="4"/>
  <c r="J164" i="4" s="1"/>
  <c r="N173" i="4"/>
  <c r="N171" i="4" s="1"/>
  <c r="M173" i="4"/>
  <c r="P173" i="4" s="1"/>
  <c r="L173" i="4"/>
  <c r="P172" i="4"/>
  <c r="O172" i="4"/>
  <c r="N170" i="4"/>
  <c r="M170" i="4"/>
  <c r="L170" i="4"/>
  <c r="P169" i="4"/>
  <c r="O169" i="4"/>
  <c r="O166" i="4"/>
  <c r="N166" i="4"/>
  <c r="M166" i="4"/>
  <c r="L166" i="4"/>
  <c r="I159" i="4"/>
  <c r="N157" i="4"/>
  <c r="N155" i="4" s="1"/>
  <c r="M157" i="4"/>
  <c r="L157" i="4"/>
  <c r="O157" i="4" s="1"/>
  <c r="P156" i="4"/>
  <c r="O156" i="4"/>
  <c r="N154" i="4"/>
  <c r="N152" i="4" s="1"/>
  <c r="M154" i="4"/>
  <c r="M152" i="4" s="1"/>
  <c r="L154" i="4"/>
  <c r="P153" i="4"/>
  <c r="O153" i="4"/>
  <c r="P150" i="4"/>
  <c r="O150" i="4"/>
  <c r="N150" i="4"/>
  <c r="M150" i="4"/>
  <c r="L150" i="4"/>
  <c r="J148" i="4"/>
  <c r="I146" i="4"/>
  <c r="K146" i="4" s="1"/>
  <c r="I145" i="4"/>
  <c r="K145" i="4" s="1"/>
  <c r="I144" i="4"/>
  <c r="N140" i="4"/>
  <c r="M140" i="4"/>
  <c r="L140" i="4"/>
  <c r="L138" i="4" s="1"/>
  <c r="P139" i="4"/>
  <c r="O139" i="4"/>
  <c r="N137" i="4"/>
  <c r="N135" i="4" s="1"/>
  <c r="M137" i="4"/>
  <c r="L137" i="4"/>
  <c r="L135" i="4" s="1"/>
  <c r="P136" i="4"/>
  <c r="O136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M124" i="4"/>
  <c r="P124" i="4" s="1"/>
  <c r="L124" i="4"/>
  <c r="P123" i="4"/>
  <c r="O123" i="4"/>
  <c r="P120" i="4"/>
  <c r="O120" i="4"/>
  <c r="N120" i="4"/>
  <c r="M120" i="4"/>
  <c r="L120" i="4"/>
  <c r="J118" i="4"/>
  <c r="K118" i="4" s="1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J98" i="4"/>
  <c r="I98" i="4"/>
  <c r="K98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P92" i="4"/>
  <c r="O92" i="4"/>
  <c r="P89" i="4"/>
  <c r="O89" i="4"/>
  <c r="N89" i="4"/>
  <c r="M89" i="4"/>
  <c r="L89" i="4"/>
  <c r="J87" i="4"/>
  <c r="J86" i="4"/>
  <c r="I86" i="4"/>
  <c r="K86" i="4" s="1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J77" i="4"/>
  <c r="J76" i="4"/>
  <c r="N74" i="4"/>
  <c r="N72" i="4" s="1"/>
  <c r="M74" i="4"/>
  <c r="M72" i="4" s="1"/>
  <c r="P72" i="4" s="1"/>
  <c r="L74" i="4"/>
  <c r="O74" i="4" s="1"/>
  <c r="P73" i="4"/>
  <c r="O73" i="4"/>
  <c r="N71" i="4"/>
  <c r="N69" i="4" s="1"/>
  <c r="M71" i="4"/>
  <c r="P71" i="4" s="1"/>
  <c r="L71" i="4"/>
  <c r="O71" i="4" s="1"/>
  <c r="P70" i="4"/>
  <c r="O70" i="4"/>
  <c r="P67" i="4"/>
  <c r="N67" i="4"/>
  <c r="M67" i="4"/>
  <c r="L67" i="4"/>
  <c r="J65" i="4"/>
  <c r="J64" i="4"/>
  <c r="N61" i="4"/>
  <c r="N59" i="4" s="1"/>
  <c r="M61" i="4"/>
  <c r="L61" i="4"/>
  <c r="P60" i="4"/>
  <c r="O60" i="4"/>
  <c r="N58" i="4"/>
  <c r="N56" i="4" s="1"/>
  <c r="M58" i="4"/>
  <c r="L58" i="4"/>
  <c r="P57" i="4"/>
  <c r="O57" i="4"/>
  <c r="O54" i="4"/>
  <c r="N54" i="4"/>
  <c r="M54" i="4"/>
  <c r="P54" i="4" s="1"/>
  <c r="L54" i="4"/>
  <c r="N49" i="4"/>
  <c r="N47" i="4" s="1"/>
  <c r="M49" i="4"/>
  <c r="L49" i="4"/>
  <c r="O49" i="4" s="1"/>
  <c r="P48" i="4"/>
  <c r="O48" i="4"/>
  <c r="N46" i="4"/>
  <c r="N44" i="4" s="1"/>
  <c r="M46" i="4"/>
  <c r="M44" i="4" s="1"/>
  <c r="L46" i="4"/>
  <c r="P45" i="4"/>
  <c r="O45" i="4"/>
  <c r="P42" i="4"/>
  <c r="N42" i="4"/>
  <c r="M42" i="4"/>
  <c r="L42" i="4"/>
  <c r="N36" i="4"/>
  <c r="M36" i="4"/>
  <c r="P36" i="4" s="1"/>
  <c r="P35" i="4"/>
  <c r="N35" i="4"/>
  <c r="N34" i="4" s="1"/>
  <c r="M35" i="4"/>
  <c r="L35" i="4"/>
  <c r="O35" i="4" s="1"/>
  <c r="M34" i="4"/>
  <c r="P34" i="4" s="1"/>
  <c r="N33" i="4"/>
  <c r="O32" i="4"/>
  <c r="N32" i="4"/>
  <c r="M32" i="4"/>
  <c r="L32" i="4"/>
  <c r="N29" i="4"/>
  <c r="L29" i="4"/>
  <c r="O29" i="4" s="1"/>
  <c r="O25" i="4"/>
  <c r="N25" i="4"/>
  <c r="M25" i="4"/>
  <c r="L25" i="4"/>
  <c r="P22" i="4"/>
  <c r="N22" i="4"/>
  <c r="M22" i="4"/>
  <c r="L22" i="4"/>
  <c r="O22" i="4" s="1"/>
  <c r="M19" i="4"/>
  <c r="N15" i="4"/>
  <c r="L15" i="4"/>
  <c r="O15" i="4" s="1"/>
  <c r="M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N786" i="3" s="1"/>
  <c r="L791" i="3"/>
  <c r="L789" i="3" s="1"/>
  <c r="O789" i="3" s="1"/>
  <c r="P790" i="3"/>
  <c r="O790" i="3"/>
  <c r="M789" i="3"/>
  <c r="P789" i="3" s="1"/>
  <c r="M788" i="3"/>
  <c r="P788" i="3" s="1"/>
  <c r="N787" i="3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N770" i="3" s="1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M738" i="3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N695" i="3"/>
  <c r="M695" i="3"/>
  <c r="L695" i="3"/>
  <c r="O695" i="3" s="1"/>
  <c r="N690" i="3"/>
  <c r="L690" i="3"/>
  <c r="L687" i="3" s="1"/>
  <c r="N688" i="3"/>
  <c r="N687" i="3"/>
  <c r="N686" i="3"/>
  <c r="M686" i="3"/>
  <c r="L686" i="3"/>
  <c r="O686" i="3" s="1"/>
  <c r="J679" i="3"/>
  <c r="J678" i="3" s="1"/>
  <c r="I678" i="3"/>
  <c r="K678" i="3" s="1"/>
  <c r="J675" i="3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N660" i="3"/>
  <c r="L660" i="3"/>
  <c r="P659" i="3"/>
  <c r="O659" i="3"/>
  <c r="N658" i="3"/>
  <c r="N657" i="3"/>
  <c r="N655" i="3" s="1"/>
  <c r="P656" i="3"/>
  <c r="N656" i="3"/>
  <c r="M656" i="3"/>
  <c r="L656" i="3"/>
  <c r="O656" i="3" s="1"/>
  <c r="I654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L632" i="3" s="1"/>
  <c r="O632" i="3" s="1"/>
  <c r="P633" i="3"/>
  <c r="O633" i="3"/>
  <c r="P632" i="3"/>
  <c r="N632" i="3"/>
  <c r="M632" i="3"/>
  <c r="N631" i="3"/>
  <c r="M631" i="3"/>
  <c r="P631" i="3" s="1"/>
  <c r="N630" i="3"/>
  <c r="N629" i="3" s="1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I593" i="3"/>
  <c r="I592" i="3" s="1"/>
  <c r="J583" i="3"/>
  <c r="J577" i="3" s="1"/>
  <c r="J582" i="3"/>
  <c r="J576" i="3" s="1"/>
  <c r="J559" i="3" s="1"/>
  <c r="J543" i="3" s="1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O557" i="3" s="1"/>
  <c r="P556" i="3"/>
  <c r="O556" i="3"/>
  <c r="N555" i="3"/>
  <c r="N545" i="3" s="1"/>
  <c r="M555" i="3"/>
  <c r="P555" i="3" s="1"/>
  <c r="N553" i="3"/>
  <c r="N549" i="3"/>
  <c r="L549" i="3"/>
  <c r="L547" i="3" s="1"/>
  <c r="O547" i="3" s="1"/>
  <c r="P548" i="3"/>
  <c r="O548" i="3"/>
  <c r="N547" i="3"/>
  <c r="N546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P534" i="3"/>
  <c r="O534" i="3"/>
  <c r="N533" i="3"/>
  <c r="M533" i="3"/>
  <c r="P533" i="3" s="1"/>
  <c r="P528" i="3"/>
  <c r="N528" i="3"/>
  <c r="L528" i="3"/>
  <c r="O528" i="3" s="1"/>
  <c r="P527" i="3"/>
  <c r="O527" i="3"/>
  <c r="N526" i="3"/>
  <c r="M526" i="3"/>
  <c r="P526" i="3" s="1"/>
  <c r="P525" i="3"/>
  <c r="N525" i="3"/>
  <c r="M525" i="3"/>
  <c r="P524" i="3"/>
  <c r="O524" i="3"/>
  <c r="N524" i="3"/>
  <c r="M524" i="3"/>
  <c r="L524" i="3"/>
  <c r="P523" i="3"/>
  <c r="N523" i="3"/>
  <c r="M523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N505" i="3" s="1"/>
  <c r="P506" i="3"/>
  <c r="O506" i="3"/>
  <c r="P505" i="3"/>
  <c r="O505" i="3"/>
  <c r="M505" i="3"/>
  <c r="L505" i="3"/>
  <c r="P504" i="3"/>
  <c r="O504" i="3"/>
  <c r="N504" i="3"/>
  <c r="M504" i="3"/>
  <c r="L504" i="3"/>
  <c r="O503" i="3"/>
  <c r="N503" i="3"/>
  <c r="M503" i="3"/>
  <c r="P503" i="3" s="1"/>
  <c r="L503" i="3"/>
  <c r="N502" i="3"/>
  <c r="M502" i="3"/>
  <c r="P502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6" i="3"/>
  <c r="N472" i="3" s="1"/>
  <c r="L472" i="3"/>
  <c r="L470" i="3" s="1"/>
  <c r="P471" i="3"/>
  <c r="O471" i="3"/>
  <c r="P468" i="3"/>
  <c r="O468" i="3"/>
  <c r="N468" i="3"/>
  <c r="M468" i="3"/>
  <c r="L468" i="3"/>
  <c r="J466" i="3"/>
  <c r="I466" i="3"/>
  <c r="J465" i="3"/>
  <c r="I465" i="3"/>
  <c r="K465" i="3" s="1"/>
  <c r="I464" i="3"/>
  <c r="I463" i="3"/>
  <c r="I462" i="3"/>
  <c r="K462" i="3" s="1"/>
  <c r="I460" i="3"/>
  <c r="K458" i="3"/>
  <c r="P456" i="3"/>
  <c r="L456" i="3"/>
  <c r="L454" i="3" s="1"/>
  <c r="O454" i="3" s="1"/>
  <c r="P455" i="3"/>
  <c r="O455" i="3"/>
  <c r="N454" i="3"/>
  <c r="M454" i="3"/>
  <c r="P454" i="3" s="1"/>
  <c r="P449" i="3"/>
  <c r="N449" i="3"/>
  <c r="N446" i="3" s="1"/>
  <c r="N444" i="3" s="1"/>
  <c r="L449" i="3"/>
  <c r="P448" i="3"/>
  <c r="O448" i="3"/>
  <c r="N447" i="3"/>
  <c r="M447" i="3"/>
  <c r="P447" i="3" s="1"/>
  <c r="M446" i="3"/>
  <c r="P445" i="3"/>
  <c r="N445" i="3"/>
  <c r="M445" i="3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J418" i="3" s="1"/>
  <c r="P431" i="3"/>
  <c r="L431" i="3"/>
  <c r="L429" i="3" s="1"/>
  <c r="O429" i="3" s="1"/>
  <c r="P430" i="3"/>
  <c r="O430" i="3"/>
  <c r="N429" i="3"/>
  <c r="M429" i="3"/>
  <c r="P429" i="3" s="1"/>
  <c r="N424" i="3"/>
  <c r="N421" i="3" s="1"/>
  <c r="N419" i="3" s="1"/>
  <c r="L424" i="3"/>
  <c r="P423" i="3"/>
  <c r="O423" i="3"/>
  <c r="N422" i="3"/>
  <c r="N420" i="3"/>
  <c r="M420" i="3"/>
  <c r="L420" i="3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L395" i="3" s="1"/>
  <c r="O395" i="3" s="1"/>
  <c r="P396" i="3"/>
  <c r="O396" i="3"/>
  <c r="N394" i="3"/>
  <c r="N392" i="3" s="1"/>
  <c r="M394" i="3"/>
  <c r="L394" i="3"/>
  <c r="L392" i="3" s="1"/>
  <c r="O392" i="3" s="1"/>
  <c r="P393" i="3"/>
  <c r="O393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M350" i="3"/>
  <c r="L350" i="3"/>
  <c r="L348" i="3" s="1"/>
  <c r="P349" i="3"/>
  <c r="O349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P335" i="3"/>
  <c r="O335" i="3"/>
  <c r="N333" i="3"/>
  <c r="N331" i="3" s="1"/>
  <c r="M333" i="3"/>
  <c r="M331" i="3" s="1"/>
  <c r="L333" i="3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O323" i="3" s="1"/>
  <c r="P322" i="3"/>
  <c r="O322" i="3"/>
  <c r="N320" i="3"/>
  <c r="N318" i="3" s="1"/>
  <c r="M320" i="3"/>
  <c r="P320" i="3" s="1"/>
  <c r="L320" i="3"/>
  <c r="P319" i="3"/>
  <c r="O319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P305" i="3"/>
  <c r="O305" i="3"/>
  <c r="N303" i="3"/>
  <c r="M303" i="3"/>
  <c r="M301" i="3" s="1"/>
  <c r="P301" i="3" s="1"/>
  <c r="L303" i="3"/>
  <c r="L301" i="3" s="1"/>
  <c r="O301" i="3" s="1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K275" i="3" s="1"/>
  <c r="I287" i="3"/>
  <c r="K287" i="3" s="1"/>
  <c r="N285" i="3"/>
  <c r="N283" i="3" s="1"/>
  <c r="M285" i="3"/>
  <c r="M283" i="3" s="1"/>
  <c r="P283" i="3" s="1"/>
  <c r="L285" i="3"/>
  <c r="O285" i="3" s="1"/>
  <c r="P284" i="3"/>
  <c r="O284" i="3"/>
  <c r="N282" i="3"/>
  <c r="N280" i="3" s="1"/>
  <c r="M282" i="3"/>
  <c r="L282" i="3"/>
  <c r="O282" i="3" s="1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M267" i="3" s="1"/>
  <c r="P267" i="3" s="1"/>
  <c r="L269" i="3"/>
  <c r="L267" i="3" s="1"/>
  <c r="O267" i="3" s="1"/>
  <c r="P268" i="3"/>
  <c r="O268" i="3"/>
  <c r="N266" i="3"/>
  <c r="N264" i="3" s="1"/>
  <c r="M266" i="3"/>
  <c r="M264" i="3" s="1"/>
  <c r="L266" i="3"/>
  <c r="L264" i="3" s="1"/>
  <c r="P265" i="3"/>
  <c r="O265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K236" i="3"/>
  <c r="J236" i="3"/>
  <c r="I236" i="3"/>
  <c r="K235" i="3"/>
  <c r="J235" i="3"/>
  <c r="I235" i="3"/>
  <c r="J233" i="3"/>
  <c r="N231" i="3"/>
  <c r="N230" i="3"/>
  <c r="N229" i="3"/>
  <c r="N228" i="3"/>
  <c r="J226" i="3"/>
  <c r="I225" i="3"/>
  <c r="K225" i="3" s="1"/>
  <c r="I224" i="3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L186" i="3"/>
  <c r="L184" i="3" s="1"/>
  <c r="P185" i="3"/>
  <c r="O185" i="3"/>
  <c r="N182" i="3"/>
  <c r="M182" i="3"/>
  <c r="L182" i="3"/>
  <c r="O182" i="3" s="1"/>
  <c r="J180" i="3"/>
  <c r="J177" i="3"/>
  <c r="I176" i="3"/>
  <c r="K176" i="3" s="1"/>
  <c r="J174" i="3"/>
  <c r="J164" i="3" s="1"/>
  <c r="N173" i="3"/>
  <c r="N171" i="3" s="1"/>
  <c r="M173" i="3"/>
  <c r="P173" i="3" s="1"/>
  <c r="L173" i="3"/>
  <c r="O173" i="3" s="1"/>
  <c r="P172" i="3"/>
  <c r="O172" i="3"/>
  <c r="N170" i="3"/>
  <c r="N168" i="3" s="1"/>
  <c r="M170" i="3"/>
  <c r="M168" i="3" s="1"/>
  <c r="L170" i="3"/>
  <c r="P169" i="3"/>
  <c r="O169" i="3"/>
  <c r="N166" i="3"/>
  <c r="M166" i="3"/>
  <c r="L166" i="3"/>
  <c r="O166" i="3" s="1"/>
  <c r="I159" i="3"/>
  <c r="K159" i="3" s="1"/>
  <c r="N157" i="3"/>
  <c r="N155" i="3" s="1"/>
  <c r="M157" i="3"/>
  <c r="M155" i="3" s="1"/>
  <c r="P155" i="3" s="1"/>
  <c r="L157" i="3"/>
  <c r="L155" i="3" s="1"/>
  <c r="O155" i="3" s="1"/>
  <c r="P156" i="3"/>
  <c r="O156" i="3"/>
  <c r="N154" i="3"/>
  <c r="M154" i="3"/>
  <c r="M152" i="3" s="1"/>
  <c r="L154" i="3"/>
  <c r="P153" i="3"/>
  <c r="O153" i="3"/>
  <c r="N150" i="3"/>
  <c r="M150" i="3"/>
  <c r="P150" i="3" s="1"/>
  <c r="L150" i="3"/>
  <c r="O150" i="3" s="1"/>
  <c r="J148" i="3"/>
  <c r="I146" i="3"/>
  <c r="I130" i="3" s="1"/>
  <c r="K130" i="3" s="1"/>
  <c r="I145" i="3"/>
  <c r="I143" i="3" s="1"/>
  <c r="I144" i="3"/>
  <c r="K144" i="3" s="1"/>
  <c r="N140" i="3"/>
  <c r="N138" i="3" s="1"/>
  <c r="M140" i="3"/>
  <c r="P140" i="3" s="1"/>
  <c r="L140" i="3"/>
  <c r="O140" i="3" s="1"/>
  <c r="P139" i="3"/>
  <c r="O139" i="3"/>
  <c r="N137" i="3"/>
  <c r="N135" i="3" s="1"/>
  <c r="M137" i="3"/>
  <c r="M135" i="3" s="1"/>
  <c r="P135" i="3" s="1"/>
  <c r="L137" i="3"/>
  <c r="O137" i="3" s="1"/>
  <c r="P136" i="3"/>
  <c r="O136" i="3"/>
  <c r="P133" i="3"/>
  <c r="N133" i="3"/>
  <c r="M133" i="3"/>
  <c r="L133" i="3"/>
  <c r="J130" i="3"/>
  <c r="N127" i="3"/>
  <c r="N125" i="3" s="1"/>
  <c r="M127" i="3"/>
  <c r="M125" i="3" s="1"/>
  <c r="P125" i="3" s="1"/>
  <c r="L127" i="3"/>
  <c r="O127" i="3" s="1"/>
  <c r="P126" i="3"/>
  <c r="O126" i="3"/>
  <c r="N124" i="3"/>
  <c r="M124" i="3"/>
  <c r="M122" i="3" s="1"/>
  <c r="P122" i="3" s="1"/>
  <c r="L124" i="3"/>
  <c r="O124" i="3" s="1"/>
  <c r="P123" i="3"/>
  <c r="O123" i="3"/>
  <c r="O120" i="3"/>
  <c r="N120" i="3"/>
  <c r="M120" i="3"/>
  <c r="P120" i="3" s="1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K87" i="3" s="1"/>
  <c r="J98" i="3"/>
  <c r="I98" i="3"/>
  <c r="K98" i="3" s="1"/>
  <c r="N96" i="3"/>
  <c r="N94" i="3" s="1"/>
  <c r="M96" i="3"/>
  <c r="M94" i="3" s="1"/>
  <c r="P94" i="3" s="1"/>
  <c r="L96" i="3"/>
  <c r="P95" i="3"/>
  <c r="O95" i="3"/>
  <c r="N93" i="3"/>
  <c r="N91" i="3" s="1"/>
  <c r="M93" i="3"/>
  <c r="M91" i="3" s="1"/>
  <c r="L93" i="3"/>
  <c r="L91" i="3" s="1"/>
  <c r="P92" i="3"/>
  <c r="O92" i="3"/>
  <c r="N89" i="3"/>
  <c r="M89" i="3"/>
  <c r="P89" i="3" s="1"/>
  <c r="L89" i="3"/>
  <c r="O89" i="3" s="1"/>
  <c r="J86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76" i="3"/>
  <c r="N74" i="3"/>
  <c r="N72" i="3" s="1"/>
  <c r="M74" i="3"/>
  <c r="P74" i="3" s="1"/>
  <c r="L74" i="3"/>
  <c r="L72" i="3" s="1"/>
  <c r="O72" i="3" s="1"/>
  <c r="P73" i="3"/>
  <c r="O73" i="3"/>
  <c r="N71" i="3"/>
  <c r="M71" i="3"/>
  <c r="P71" i="3" s="1"/>
  <c r="L71" i="3"/>
  <c r="L69" i="3" s="1"/>
  <c r="O69" i="3" s="1"/>
  <c r="P70" i="3"/>
  <c r="O70" i="3"/>
  <c r="N67" i="3"/>
  <c r="M67" i="3"/>
  <c r="P67" i="3" s="1"/>
  <c r="L67" i="3"/>
  <c r="O67" i="3" s="1"/>
  <c r="J65" i="3"/>
  <c r="J64" i="3"/>
  <c r="N61" i="3"/>
  <c r="N59" i="3" s="1"/>
  <c r="M61" i="3"/>
  <c r="M59" i="3" s="1"/>
  <c r="L61" i="3"/>
  <c r="O61" i="3" s="1"/>
  <c r="P60" i="3"/>
  <c r="O60" i="3"/>
  <c r="N58" i="3"/>
  <c r="M58" i="3"/>
  <c r="L58" i="3"/>
  <c r="L56" i="3" s="1"/>
  <c r="P57" i="3"/>
  <c r="O57" i="3"/>
  <c r="P54" i="3"/>
  <c r="O54" i="3"/>
  <c r="N54" i="3"/>
  <c r="M54" i="3"/>
  <c r="L54" i="3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M44" i="3" s="1"/>
  <c r="L46" i="3"/>
  <c r="L44" i="3" s="1"/>
  <c r="P45" i="3"/>
  <c r="O45" i="3"/>
  <c r="P42" i="3"/>
  <c r="N42" i="3"/>
  <c r="M42" i="3"/>
  <c r="L42" i="3"/>
  <c r="O42" i="3" s="1"/>
  <c r="N36" i="3"/>
  <c r="M36" i="3"/>
  <c r="P36" i="3" s="1"/>
  <c r="N35" i="3"/>
  <c r="N34" i="3" s="1"/>
  <c r="M35" i="3"/>
  <c r="P35" i="3" s="1"/>
  <c r="L35" i="3"/>
  <c r="O35" i="3" s="1"/>
  <c r="N33" i="3"/>
  <c r="P32" i="3"/>
  <c r="O32" i="3"/>
  <c r="N32" i="3"/>
  <c r="M32" i="3"/>
  <c r="L32" i="3"/>
  <c r="N31" i="3"/>
  <c r="N30" i="3"/>
  <c r="N29" i="3"/>
  <c r="N28" i="3" s="1"/>
  <c r="M29" i="3"/>
  <c r="P29" i="3" s="1"/>
  <c r="L29" i="3"/>
  <c r="O29" i="3" s="1"/>
  <c r="P25" i="3"/>
  <c r="O25" i="3"/>
  <c r="N25" i="3"/>
  <c r="M25" i="3"/>
  <c r="L25" i="3"/>
  <c r="N22" i="3"/>
  <c r="M22" i="3"/>
  <c r="P22" i="3" s="1"/>
  <c r="L22" i="3"/>
  <c r="O22" i="3" s="1"/>
  <c r="N19" i="3"/>
  <c r="N15" i="3"/>
  <c r="M15" i="3"/>
  <c r="P15" i="3" s="1"/>
  <c r="L15" i="3"/>
  <c r="O15" i="3" s="1"/>
  <c r="N12" i="3"/>
  <c r="N9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P807" i="2" s="1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N789" i="2"/>
  <c r="M789" i="2"/>
  <c r="P789" i="2" s="1"/>
  <c r="M788" i="2"/>
  <c r="P788" i="2" s="1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3" i="2" s="1"/>
  <c r="P774" i="2"/>
  <c r="O774" i="2"/>
  <c r="O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7" i="2" s="1"/>
  <c r="P758" i="2"/>
  <c r="O758" i="2"/>
  <c r="O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40" i="2" s="1"/>
  <c r="P741" i="2"/>
  <c r="O741" i="2"/>
  <c r="O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N687" i="2"/>
  <c r="N685" i="2" s="1"/>
  <c r="N686" i="2"/>
  <c r="M686" i="2"/>
  <c r="L686" i="2"/>
  <c r="O686" i="2" s="1"/>
  <c r="J679" i="2"/>
  <c r="J678" i="2"/>
  <c r="I678" i="2"/>
  <c r="K678" i="2" s="1"/>
  <c r="J675" i="2"/>
  <c r="J669" i="2" s="1"/>
  <c r="I671" i="2"/>
  <c r="K671" i="2" s="1"/>
  <c r="I670" i="2"/>
  <c r="K670" i="2" s="1"/>
  <c r="I669" i="2"/>
  <c r="K673" i="2" s="1"/>
  <c r="P667" i="2"/>
  <c r="O667" i="2"/>
  <c r="P666" i="2"/>
  <c r="O666" i="2"/>
  <c r="N665" i="2"/>
  <c r="M665" i="2"/>
  <c r="P665" i="2" s="1"/>
  <c r="L665" i="2"/>
  <c r="O665" i="2" s="1"/>
  <c r="N660" i="2"/>
  <c r="N658" i="2" s="1"/>
  <c r="L660" i="2"/>
  <c r="L657" i="2" s="1"/>
  <c r="P659" i="2"/>
  <c r="O659" i="2"/>
  <c r="N657" i="2"/>
  <c r="P656" i="2"/>
  <c r="O656" i="2"/>
  <c r="N656" i="2"/>
  <c r="N655" i="2" s="1"/>
  <c r="M656" i="2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L634" i="2"/>
  <c r="M634" i="2" s="1"/>
  <c r="P633" i="2"/>
  <c r="O633" i="2"/>
  <c r="N632" i="2"/>
  <c r="N631" i="2"/>
  <c r="N630" i="2"/>
  <c r="N629" i="2" s="1"/>
  <c r="M630" i="2"/>
  <c r="P630" i="2" s="1"/>
  <c r="L630" i="2"/>
  <c r="J621" i="2"/>
  <c r="I621" i="2"/>
  <c r="K621" i="2" s="1"/>
  <c r="J620" i="2"/>
  <c r="I620" i="2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I593" i="2"/>
  <c r="I592" i="2" s="1"/>
  <c r="J583" i="2"/>
  <c r="J577" i="2" s="1"/>
  <c r="J582" i="2"/>
  <c r="I577" i="2"/>
  <c r="J576" i="2"/>
  <c r="J559" i="2" s="1"/>
  <c r="J543" i="2" s="1"/>
  <c r="I576" i="2"/>
  <c r="I559" i="2" s="1"/>
  <c r="J569" i="2"/>
  <c r="I569" i="2"/>
  <c r="J568" i="2"/>
  <c r="I568" i="2"/>
  <c r="K568" i="2" s="1"/>
  <c r="J561" i="2"/>
  <c r="I561" i="2"/>
  <c r="J560" i="2"/>
  <c r="I560" i="2"/>
  <c r="K560" i="2" s="1"/>
  <c r="P557" i="2"/>
  <c r="L557" i="2"/>
  <c r="P556" i="2"/>
  <c r="O556" i="2"/>
  <c r="N555" i="2"/>
  <c r="N545" i="2" s="1"/>
  <c r="N544" i="2" s="1"/>
  <c r="M555" i="2"/>
  <c r="P555" i="2" s="1"/>
  <c r="N549" i="2"/>
  <c r="L549" i="2"/>
  <c r="O549" i="2" s="1"/>
  <c r="P548" i="2"/>
  <c r="O548" i="2"/>
  <c r="N547" i="2"/>
  <c r="N546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P534" i="2"/>
  <c r="O534" i="2"/>
  <c r="N533" i="2"/>
  <c r="M533" i="2"/>
  <c r="P533" i="2" s="1"/>
  <c r="N528" i="2"/>
  <c r="L528" i="2"/>
  <c r="P527" i="2"/>
  <c r="O527" i="2"/>
  <c r="N526" i="2"/>
  <c r="N525" i="2"/>
  <c r="P524" i="2"/>
  <c r="O524" i="2"/>
  <c r="N524" i="2"/>
  <c r="N523" i="2" s="1"/>
  <c r="M524" i="2"/>
  <c r="L524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P504" i="2"/>
  <c r="O504" i="2"/>
  <c r="N504" i="2"/>
  <c r="M504" i="2"/>
  <c r="L504" i="2"/>
  <c r="O503" i="2"/>
  <c r="N503" i="2"/>
  <c r="M503" i="2"/>
  <c r="M502" i="2" s="1"/>
  <c r="P502" i="2" s="1"/>
  <c r="L503" i="2"/>
  <c r="L502" i="2" s="1"/>
  <c r="O502" i="2" s="1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L477" i="2"/>
  <c r="O477" i="2" s="1"/>
  <c r="N472" i="2"/>
  <c r="L472" i="2"/>
  <c r="M472" i="2" s="1"/>
  <c r="P471" i="2"/>
  <c r="O471" i="2"/>
  <c r="N469" i="2"/>
  <c r="P468" i="2"/>
  <c r="O468" i="2"/>
  <c r="N468" i="2"/>
  <c r="N467" i="2" s="1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O456" i="2" s="1"/>
  <c r="P455" i="2"/>
  <c r="O455" i="2"/>
  <c r="N454" i="2"/>
  <c r="M454" i="2"/>
  <c r="P454" i="2" s="1"/>
  <c r="N449" i="2"/>
  <c r="L449" i="2"/>
  <c r="O449" i="2" s="1"/>
  <c r="P448" i="2"/>
  <c r="O448" i="2"/>
  <c r="N447" i="2"/>
  <c r="N446" i="2"/>
  <c r="P445" i="2"/>
  <c r="N445" i="2"/>
  <c r="M445" i="2"/>
  <c r="L445" i="2"/>
  <c r="N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P431" i="2"/>
  <c r="L431" i="2"/>
  <c r="O431" i="2" s="1"/>
  <c r="P430" i="2"/>
  <c r="O430" i="2"/>
  <c r="N429" i="2"/>
  <c r="M429" i="2"/>
  <c r="P429" i="2" s="1"/>
  <c r="N424" i="2"/>
  <c r="N422" i="2" s="1"/>
  <c r="L424" i="2"/>
  <c r="M424" i="2" s="1"/>
  <c r="P423" i="2"/>
  <c r="O423" i="2"/>
  <c r="N421" i="2"/>
  <c r="N419" i="2" s="1"/>
  <c r="N420" i="2"/>
  <c r="M420" i="2"/>
  <c r="L420" i="2"/>
  <c r="O420" i="2" s="1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M407" i="2"/>
  <c r="L407" i="2"/>
  <c r="P406" i="2"/>
  <c r="O406" i="2"/>
  <c r="O403" i="2"/>
  <c r="N403" i="2"/>
  <c r="M403" i="2"/>
  <c r="P403" i="2" s="1"/>
  <c r="L403" i="2"/>
  <c r="J401" i="2"/>
  <c r="I401" i="2"/>
  <c r="K401" i="2" s="1"/>
  <c r="K400" i="2"/>
  <c r="K399" i="2"/>
  <c r="N397" i="2"/>
  <c r="N395" i="2" s="1"/>
  <c r="M397" i="2"/>
  <c r="P397" i="2" s="1"/>
  <c r="L397" i="2"/>
  <c r="O397" i="2" s="1"/>
  <c r="P396" i="2"/>
  <c r="O396" i="2"/>
  <c r="N394" i="2"/>
  <c r="N392" i="2" s="1"/>
  <c r="M394" i="2"/>
  <c r="P394" i="2" s="1"/>
  <c r="L394" i="2"/>
  <c r="O394" i="2" s="1"/>
  <c r="P393" i="2"/>
  <c r="O393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L351" i="2" s="1"/>
  <c r="P352" i="2"/>
  <c r="O352" i="2"/>
  <c r="N350" i="2"/>
  <c r="M350" i="2"/>
  <c r="M348" i="2" s="1"/>
  <c r="L350" i="2"/>
  <c r="L348" i="2" s="1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M333" i="2"/>
  <c r="L333" i="2"/>
  <c r="P332" i="2"/>
  <c r="O332" i="2"/>
  <c r="P329" i="2"/>
  <c r="N329" i="2"/>
  <c r="M329" i="2"/>
  <c r="L329" i="2"/>
  <c r="O329" i="2" s="1"/>
  <c r="I327" i="2"/>
  <c r="I325" i="2"/>
  <c r="N323" i="2"/>
  <c r="N321" i="2" s="1"/>
  <c r="M323" i="2"/>
  <c r="L323" i="2"/>
  <c r="O323" i="2" s="1"/>
  <c r="P322" i="2"/>
  <c r="O322" i="2"/>
  <c r="N320" i="2"/>
  <c r="M320" i="2"/>
  <c r="L320" i="2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M304" i="2" s="1"/>
  <c r="P304" i="2" s="1"/>
  <c r="L306" i="2"/>
  <c r="L304" i="2" s="1"/>
  <c r="O304" i="2" s="1"/>
  <c r="P305" i="2"/>
  <c r="O305" i="2"/>
  <c r="N303" i="2"/>
  <c r="M303" i="2"/>
  <c r="M301" i="2" s="1"/>
  <c r="L303" i="2"/>
  <c r="L301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L285" i="2"/>
  <c r="O285" i="2" s="1"/>
  <c r="P284" i="2"/>
  <c r="O284" i="2"/>
  <c r="N282" i="2"/>
  <c r="N280" i="2" s="1"/>
  <c r="M282" i="2"/>
  <c r="M280" i="2" s="1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M267" i="2" s="1"/>
  <c r="P267" i="2" s="1"/>
  <c r="L269" i="2"/>
  <c r="O269" i="2" s="1"/>
  <c r="P268" i="2"/>
  <c r="O268" i="2"/>
  <c r="N266" i="2"/>
  <c r="M266" i="2"/>
  <c r="M264" i="2" s="1"/>
  <c r="L266" i="2"/>
  <c r="P265" i="2"/>
  <c r="O265" i="2"/>
  <c r="P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J226" i="2" s="1"/>
  <c r="J180" i="2" s="1"/>
  <c r="J236" i="2"/>
  <c r="K236" i="2" s="1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P191" i="2"/>
  <c r="L191" i="2"/>
  <c r="O191" i="2" s="1"/>
  <c r="J190" i="2"/>
  <c r="N189" i="2"/>
  <c r="N187" i="2" s="1"/>
  <c r="M189" i="2"/>
  <c r="M187" i="2" s="1"/>
  <c r="P187" i="2" s="1"/>
  <c r="L189" i="2"/>
  <c r="L187" i="2" s="1"/>
  <c r="O187" i="2" s="1"/>
  <c r="P188" i="2"/>
  <c r="O188" i="2"/>
  <c r="N186" i="2"/>
  <c r="N184" i="2" s="1"/>
  <c r="M186" i="2"/>
  <c r="M184" i="2" s="1"/>
  <c r="L186" i="2"/>
  <c r="L184" i="2" s="1"/>
  <c r="P185" i="2"/>
  <c r="O185" i="2"/>
  <c r="P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P172" i="2"/>
  <c r="O172" i="2"/>
  <c r="N170" i="2"/>
  <c r="M170" i="2"/>
  <c r="M168" i="2" s="1"/>
  <c r="L170" i="2"/>
  <c r="L168" i="2" s="1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M154" i="2"/>
  <c r="L154" i="2"/>
  <c r="L152" i="2" s="1"/>
  <c r="P153" i="2"/>
  <c r="O153" i="2"/>
  <c r="P150" i="2"/>
  <c r="N150" i="2"/>
  <c r="M150" i="2"/>
  <c r="L150" i="2"/>
  <c r="J148" i="2"/>
  <c r="I146" i="2"/>
  <c r="I145" i="2"/>
  <c r="K145" i="2" s="1"/>
  <c r="I144" i="2"/>
  <c r="K144" i="2" s="1"/>
  <c r="N140" i="2"/>
  <c r="N138" i="2" s="1"/>
  <c r="M140" i="2"/>
  <c r="P140" i="2" s="1"/>
  <c r="L140" i="2"/>
  <c r="L138" i="2" s="1"/>
  <c r="O138" i="2" s="1"/>
  <c r="P139" i="2"/>
  <c r="O139" i="2"/>
  <c r="N137" i="2"/>
  <c r="M137" i="2"/>
  <c r="M135" i="2" s="1"/>
  <c r="P135" i="2" s="1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L125" i="2" s="1"/>
  <c r="O125" i="2" s="1"/>
  <c r="P126" i="2"/>
  <c r="O126" i="2"/>
  <c r="N124" i="2"/>
  <c r="N122" i="2" s="1"/>
  <c r="M124" i="2"/>
  <c r="L124" i="2"/>
  <c r="L122" i="2" s="1"/>
  <c r="O122" i="2" s="1"/>
  <c r="P123" i="2"/>
  <c r="O123" i="2"/>
  <c r="P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I87" i="2" s="1"/>
  <c r="K87" i="2" s="1"/>
  <c r="J98" i="2"/>
  <c r="I98" i="2"/>
  <c r="K98" i="2" s="1"/>
  <c r="N96" i="2"/>
  <c r="N94" i="2" s="1"/>
  <c r="M96" i="2"/>
  <c r="M94" i="2" s="1"/>
  <c r="P94" i="2" s="1"/>
  <c r="L96" i="2"/>
  <c r="O96" i="2" s="1"/>
  <c r="P95" i="2"/>
  <c r="O95" i="2"/>
  <c r="N93" i="2"/>
  <c r="M93" i="2"/>
  <c r="M91" i="2" s="1"/>
  <c r="L93" i="2"/>
  <c r="P92" i="2"/>
  <c r="O92" i="2"/>
  <c r="N89" i="2"/>
  <c r="M89" i="2"/>
  <c r="P89" i="2" s="1"/>
  <c r="L89" i="2"/>
  <c r="J87" i="2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P67" i="2"/>
  <c r="N67" i="2"/>
  <c r="M67" i="2"/>
  <c r="L67" i="2"/>
  <c r="O67" i="2" s="1"/>
  <c r="J65" i="2"/>
  <c r="J64" i="2"/>
  <c r="N61" i="2"/>
  <c r="N59" i="2" s="1"/>
  <c r="M61" i="2"/>
  <c r="L61" i="2"/>
  <c r="L59" i="2" s="1"/>
  <c r="P60" i="2"/>
  <c r="O60" i="2"/>
  <c r="N58" i="2"/>
  <c r="M58" i="2"/>
  <c r="L58" i="2"/>
  <c r="L56" i="2" s="1"/>
  <c r="P57" i="2"/>
  <c r="O57" i="2"/>
  <c r="N54" i="2"/>
  <c r="M54" i="2"/>
  <c r="P54" i="2" s="1"/>
  <c r="L54" i="2"/>
  <c r="O54" i="2" s="1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L46" i="2"/>
  <c r="L44" i="2" s="1"/>
  <c r="P45" i="2"/>
  <c r="O45" i="2"/>
  <c r="O42" i="2"/>
  <c r="N42" i="2"/>
  <c r="M42" i="2"/>
  <c r="P42" i="2" s="1"/>
  <c r="L42" i="2"/>
  <c r="N36" i="2"/>
  <c r="M36" i="2"/>
  <c r="P36" i="2" s="1"/>
  <c r="P35" i="2"/>
  <c r="N35" i="2"/>
  <c r="N34" i="2" s="1"/>
  <c r="M35" i="2"/>
  <c r="M34" i="2" s="1"/>
  <c r="P34" i="2" s="1"/>
  <c r="L35" i="2"/>
  <c r="O35" i="2" s="1"/>
  <c r="N33" i="2"/>
  <c r="N31" i="2" s="1"/>
  <c r="P32" i="2"/>
  <c r="O32" i="2"/>
  <c r="N32" i="2"/>
  <c r="M32" i="2"/>
  <c r="M29" i="2" s="1"/>
  <c r="L32" i="2"/>
  <c r="N29" i="2"/>
  <c r="L29" i="2"/>
  <c r="O29" i="2" s="1"/>
  <c r="P25" i="2"/>
  <c r="N25" i="2"/>
  <c r="N15" i="2" s="1"/>
  <c r="M25" i="2"/>
  <c r="L25" i="2"/>
  <c r="O25" i="2" s="1"/>
  <c r="O22" i="2"/>
  <c r="N22" i="2"/>
  <c r="M22" i="2"/>
  <c r="L22" i="2"/>
  <c r="N19" i="2"/>
  <c r="L19" i="2"/>
  <c r="O19" i="2" s="1"/>
  <c r="M15" i="2"/>
  <c r="N12" i="2"/>
  <c r="N9" i="2" s="1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N808" i="1"/>
  <c r="M808" i="1"/>
  <c r="L808" i="1"/>
  <c r="O808" i="1" s="1"/>
  <c r="O807" i="1"/>
  <c r="N807" i="1"/>
  <c r="M807" i="1"/>
  <c r="P807" i="1" s="1"/>
  <c r="L807" i="1"/>
  <c r="P806" i="1"/>
  <c r="N806" i="1"/>
  <c r="N805" i="1" s="1"/>
  <c r="M806" i="1"/>
  <c r="L806" i="1"/>
  <c r="O806" i="1" s="1"/>
  <c r="M805" i="1"/>
  <c r="P805" i="1" s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M791" i="1"/>
  <c r="M789" i="1" s="1"/>
  <c r="L791" i="1"/>
  <c r="L788" i="1" s="1"/>
  <c r="L786" i="1" s="1"/>
  <c r="P790" i="1"/>
  <c r="O790" i="1"/>
  <c r="P787" i="1"/>
  <c r="N787" i="1"/>
  <c r="M787" i="1"/>
  <c r="L787" i="1"/>
  <c r="O787" i="1" s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O773" i="1"/>
  <c r="M773" i="1"/>
  <c r="P773" i="1" s="1"/>
  <c r="L773" i="1"/>
  <c r="P772" i="1"/>
  <c r="M772" i="1"/>
  <c r="L772" i="1"/>
  <c r="L770" i="1" s="1"/>
  <c r="O770" i="1" s="1"/>
  <c r="O771" i="1"/>
  <c r="N771" i="1"/>
  <c r="M771" i="1"/>
  <c r="P771" i="1" s="1"/>
  <c r="L771" i="1"/>
  <c r="M770" i="1"/>
  <c r="P770" i="1" s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O757" i="1"/>
  <c r="M757" i="1"/>
  <c r="P757" i="1" s="1"/>
  <c r="L757" i="1"/>
  <c r="P756" i="1"/>
  <c r="O756" i="1"/>
  <c r="M756" i="1"/>
  <c r="L756" i="1"/>
  <c r="L754" i="1" s="1"/>
  <c r="O754" i="1" s="1"/>
  <c r="O755" i="1"/>
  <c r="N755" i="1"/>
  <c r="M755" i="1"/>
  <c r="P755" i="1" s="1"/>
  <c r="L755" i="1"/>
  <c r="P754" i="1"/>
  <c r="M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P740" i="1"/>
  <c r="O740" i="1"/>
  <c r="M740" i="1"/>
  <c r="L740" i="1"/>
  <c r="P739" i="1"/>
  <c r="O739" i="1"/>
  <c r="M739" i="1"/>
  <c r="L739" i="1"/>
  <c r="L737" i="1" s="1"/>
  <c r="O737" i="1" s="1"/>
  <c r="O738" i="1"/>
  <c r="N738" i="1"/>
  <c r="M738" i="1"/>
  <c r="P738" i="1" s="1"/>
  <c r="L738" i="1"/>
  <c r="P737" i="1"/>
  <c r="M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8" i="1" s="1"/>
  <c r="L690" i="1"/>
  <c r="L687" i="1" s="1"/>
  <c r="O686" i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L660" i="1"/>
  <c r="L658" i="1" s="1"/>
  <c r="P659" i="1"/>
  <c r="O659" i="1"/>
  <c r="P656" i="1"/>
  <c r="O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M634" i="1"/>
  <c r="M632" i="1" s="1"/>
  <c r="L634" i="1"/>
  <c r="P633" i="1"/>
  <c r="O633" i="1"/>
  <c r="N630" i="1"/>
  <c r="M630" i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N545" i="1" s="1"/>
  <c r="M555" i="1"/>
  <c r="P555" i="1" s="1"/>
  <c r="N554" i="1"/>
  <c r="N553" i="1"/>
  <c r="N552" i="1"/>
  <c r="N551" i="1"/>
  <c r="N550" i="1"/>
  <c r="M549" i="1"/>
  <c r="M546" i="1" s="1"/>
  <c r="L549" i="1"/>
  <c r="L547" i="1" s="1"/>
  <c r="P548" i="1"/>
  <c r="O548" i="1"/>
  <c r="O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P533" i="1"/>
  <c r="N533" i="1"/>
  <c r="M533" i="1"/>
  <c r="N532" i="1"/>
  <c r="N531" i="1"/>
  <c r="N530" i="1"/>
  <c r="N529" i="1"/>
  <c r="M528" i="1"/>
  <c r="M526" i="1" s="1"/>
  <c r="L528" i="1"/>
  <c r="L526" i="1" s="1"/>
  <c r="P527" i="1"/>
  <c r="O527" i="1"/>
  <c r="N524" i="1"/>
  <c r="M524" i="1"/>
  <c r="P524" i="1" s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O505" i="1"/>
  <c r="M505" i="1"/>
  <c r="P505" i="1" s="1"/>
  <c r="L505" i="1"/>
  <c r="P504" i="1"/>
  <c r="N504" i="1"/>
  <c r="N502" i="1" s="1"/>
  <c r="M504" i="1"/>
  <c r="L504" i="1"/>
  <c r="O504" i="1" s="1"/>
  <c r="O503" i="1"/>
  <c r="N503" i="1"/>
  <c r="M503" i="1"/>
  <c r="M502" i="1" s="1"/>
  <c r="P502" i="1" s="1"/>
  <c r="L503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M472" i="1"/>
  <c r="L472" i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M422" i="1" s="1"/>
  <c r="L424" i="1"/>
  <c r="L422" i="1" s="1"/>
  <c r="P423" i="1"/>
  <c r="O423" i="1"/>
  <c r="N420" i="1"/>
  <c r="M420" i="1"/>
  <c r="P420" i="1" s="1"/>
  <c r="L420" i="1"/>
  <c r="O420" i="1" s="1"/>
  <c r="J413" i="1"/>
  <c r="I413" i="1"/>
  <c r="K413" i="1" s="1"/>
  <c r="J412" i="1"/>
  <c r="J401" i="1" s="1"/>
  <c r="I412" i="1"/>
  <c r="K412" i="1" s="1"/>
  <c r="N410" i="1"/>
  <c r="N408" i="1" s="1"/>
  <c r="M410" i="1"/>
  <c r="M408" i="1" s="1"/>
  <c r="P408" i="1" s="1"/>
  <c r="L410" i="1"/>
  <c r="P409" i="1"/>
  <c r="O409" i="1"/>
  <c r="N407" i="1"/>
  <c r="M407" i="1"/>
  <c r="L407" i="1"/>
  <c r="O407" i="1" s="1"/>
  <c r="P406" i="1"/>
  <c r="O406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M336" i="1"/>
  <c r="M334" i="1" s="1"/>
  <c r="L336" i="1"/>
  <c r="L334" i="1" s="1"/>
  <c r="P335" i="1"/>
  <c r="O335" i="1"/>
  <c r="N333" i="1"/>
  <c r="N331" i="1" s="1"/>
  <c r="M333" i="1"/>
  <c r="L333" i="1"/>
  <c r="L331" i="1" s="1"/>
  <c r="P332" i="1"/>
  <c r="O332" i="1"/>
  <c r="N329" i="1"/>
  <c r="M329" i="1"/>
  <c r="L329" i="1"/>
  <c r="O329" i="1" s="1"/>
  <c r="I327" i="1"/>
  <c r="J325" i="1"/>
  <c r="J314" i="1" s="1"/>
  <c r="I325" i="1"/>
  <c r="I314" i="1" s="1"/>
  <c r="N323" i="1"/>
  <c r="N321" i="1" s="1"/>
  <c r="M323" i="1"/>
  <c r="P323" i="1" s="1"/>
  <c r="L323" i="1"/>
  <c r="L321" i="1" s="1"/>
  <c r="O321" i="1" s="1"/>
  <c r="P322" i="1"/>
  <c r="O322" i="1"/>
  <c r="N320" i="1"/>
  <c r="M320" i="1"/>
  <c r="M318" i="1" s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N301" i="1" s="1"/>
  <c r="M303" i="1"/>
  <c r="M301" i="1" s="1"/>
  <c r="L303" i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L282" i="1"/>
  <c r="P281" i="1"/>
  <c r="O281" i="1"/>
  <c r="O278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N264" i="1" s="1"/>
  <c r="M266" i="1"/>
  <c r="L266" i="1"/>
  <c r="L264" i="1" s="1"/>
  <c r="P265" i="1"/>
  <c r="O265" i="1"/>
  <c r="O262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L189" i="1"/>
  <c r="O189" i="1" s="1"/>
  <c r="P188" i="1"/>
  <c r="O188" i="1"/>
  <c r="N186" i="1"/>
  <c r="M186" i="1"/>
  <c r="M184" i="1" s="1"/>
  <c r="L186" i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P172" i="1"/>
  <c r="O172" i="1"/>
  <c r="N170" i="1"/>
  <c r="N168" i="1" s="1"/>
  <c r="M170" i="1"/>
  <c r="L170" i="1"/>
  <c r="L168" i="1" s="1"/>
  <c r="P169" i="1"/>
  <c r="O169" i="1"/>
  <c r="N166" i="1"/>
  <c r="M166" i="1"/>
  <c r="P166" i="1" s="1"/>
  <c r="L166" i="1"/>
  <c r="O166" i="1" s="1"/>
  <c r="J159" i="1"/>
  <c r="J148" i="1" s="1"/>
  <c r="I159" i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L154" i="1"/>
  <c r="L152" i="1" s="1"/>
  <c r="P153" i="1"/>
  <c r="O153" i="1"/>
  <c r="P150" i="1"/>
  <c r="O150" i="1"/>
  <c r="N150" i="1"/>
  <c r="M150" i="1"/>
  <c r="L150" i="1"/>
  <c r="J146" i="1"/>
  <c r="I146" i="1"/>
  <c r="I130" i="1" s="1"/>
  <c r="J145" i="1"/>
  <c r="I145" i="1"/>
  <c r="J144" i="1"/>
  <c r="I144" i="1"/>
  <c r="J143" i="1"/>
  <c r="J131" i="1" s="1"/>
  <c r="J142" i="1"/>
  <c r="N140" i="1"/>
  <c r="M140" i="1"/>
  <c r="M138" i="1" s="1"/>
  <c r="L140" i="1"/>
  <c r="P139" i="1"/>
  <c r="O139" i="1"/>
  <c r="N137" i="1"/>
  <c r="N135" i="1" s="1"/>
  <c r="M137" i="1"/>
  <c r="L137" i="1"/>
  <c r="L135" i="1" s="1"/>
  <c r="P136" i="1"/>
  <c r="O136" i="1"/>
  <c r="P133" i="1"/>
  <c r="O133" i="1"/>
  <c r="N133" i="1"/>
  <c r="M133" i="1"/>
  <c r="L133" i="1"/>
  <c r="N127" i="1"/>
  <c r="M127" i="1"/>
  <c r="M125" i="1" s="1"/>
  <c r="L127" i="1"/>
  <c r="L125" i="1" s="1"/>
  <c r="P126" i="1"/>
  <c r="O126" i="1"/>
  <c r="N124" i="1"/>
  <c r="N122" i="1" s="1"/>
  <c r="M124" i="1"/>
  <c r="L124" i="1"/>
  <c r="L122" i="1" s="1"/>
  <c r="O122" i="1" s="1"/>
  <c r="P123" i="1"/>
  <c r="O123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N94" i="1" s="1"/>
  <c r="M96" i="1"/>
  <c r="L96" i="1"/>
  <c r="P95" i="1"/>
  <c r="O95" i="1"/>
  <c r="N93" i="1"/>
  <c r="M93" i="1"/>
  <c r="L93" i="1"/>
  <c r="L91" i="1" s="1"/>
  <c r="P92" i="1"/>
  <c r="O92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N69" i="1" s="1"/>
  <c r="M71" i="1"/>
  <c r="L71" i="1"/>
  <c r="L69" i="1" s="1"/>
  <c r="P70" i="1"/>
  <c r="O70" i="1"/>
  <c r="P67" i="1"/>
  <c r="O67" i="1"/>
  <c r="N67" i="1"/>
  <c r="M67" i="1"/>
  <c r="L67" i="1"/>
  <c r="N61" i="1"/>
  <c r="M61" i="1"/>
  <c r="L61" i="1"/>
  <c r="L59" i="1" s="1"/>
  <c r="P60" i="1"/>
  <c r="O60" i="1"/>
  <c r="N58" i="1"/>
  <c r="M58" i="1"/>
  <c r="L58" i="1"/>
  <c r="P57" i="1"/>
  <c r="O57" i="1"/>
  <c r="N54" i="1"/>
  <c r="M54" i="1"/>
  <c r="P54" i="1" s="1"/>
  <c r="L54" i="1"/>
  <c r="N49" i="1"/>
  <c r="M49" i="1"/>
  <c r="P49" i="1" s="1"/>
  <c r="L49" i="1"/>
  <c r="O49" i="1" s="1"/>
  <c r="P48" i="1"/>
  <c r="O48" i="1"/>
  <c r="N46" i="1"/>
  <c r="M46" i="1"/>
  <c r="L46" i="1"/>
  <c r="P45" i="1"/>
  <c r="O45" i="1"/>
  <c r="P42" i="1"/>
  <c r="O42" i="1"/>
  <c r="N42" i="1"/>
  <c r="M42" i="1"/>
  <c r="L42" i="1"/>
  <c r="N36" i="1"/>
  <c r="M36" i="1"/>
  <c r="P36" i="1" s="1"/>
  <c r="N35" i="1"/>
  <c r="N34" i="1" s="1"/>
  <c r="M35" i="1"/>
  <c r="P35" i="1" s="1"/>
  <c r="L35" i="1"/>
  <c r="O35" i="1" s="1"/>
  <c r="O32" i="1"/>
  <c r="N32" i="1"/>
  <c r="N29" i="1" s="1"/>
  <c r="M32" i="1"/>
  <c r="L32" i="1"/>
  <c r="M29" i="1"/>
  <c r="P29" i="1" s="1"/>
  <c r="L29" i="1"/>
  <c r="P25" i="1"/>
  <c r="O25" i="1"/>
  <c r="N25" i="1"/>
  <c r="N15" i="1" s="1"/>
  <c r="M25" i="1"/>
  <c r="L25" i="1"/>
  <c r="N22" i="1"/>
  <c r="M22" i="1"/>
  <c r="P22" i="1" s="1"/>
  <c r="L22" i="1"/>
  <c r="N19" i="1"/>
  <c r="M15" i="1"/>
  <c r="P15" i="1" s="1"/>
  <c r="L15" i="1"/>
  <c r="N227" i="6" l="1"/>
  <c r="J226" i="7"/>
  <c r="J180" i="7" s="1"/>
  <c r="N227" i="7"/>
  <c r="L447" i="7"/>
  <c r="O447" i="7" s="1"/>
  <c r="K236" i="8"/>
  <c r="L446" i="4"/>
  <c r="O446" i="4" s="1"/>
  <c r="K236" i="9"/>
  <c r="J226" i="9"/>
  <c r="J180" i="9" s="1"/>
  <c r="K235" i="10"/>
  <c r="I654" i="2"/>
  <c r="K654" i="2" s="1"/>
  <c r="L533" i="5"/>
  <c r="O533" i="5" s="1"/>
  <c r="L555" i="10"/>
  <c r="O555" i="10" s="1"/>
  <c r="L639" i="4"/>
  <c r="O639" i="4" s="1"/>
  <c r="L658" i="9"/>
  <c r="O658" i="9" s="1"/>
  <c r="L526" i="7"/>
  <c r="O526" i="7" s="1"/>
  <c r="L429" i="9"/>
  <c r="O429" i="9" s="1"/>
  <c r="L526" i="10"/>
  <c r="O526" i="10" s="1"/>
  <c r="L477" i="5"/>
  <c r="O477" i="5" s="1"/>
  <c r="K723" i="6"/>
  <c r="N263" i="9"/>
  <c r="N261" i="9" s="1"/>
  <c r="L658" i="7"/>
  <c r="O658" i="7" s="1"/>
  <c r="L533" i="7"/>
  <c r="O533" i="7" s="1"/>
  <c r="L167" i="8"/>
  <c r="O167" i="8" s="1"/>
  <c r="L477" i="3"/>
  <c r="O477" i="3" s="1"/>
  <c r="K823" i="10"/>
  <c r="K826" i="10"/>
  <c r="K708" i="10"/>
  <c r="I260" i="9"/>
  <c r="K260" i="9" s="1"/>
  <c r="J288" i="10"/>
  <c r="J275" i="10" s="1"/>
  <c r="M122" i="9"/>
  <c r="P122" i="9" s="1"/>
  <c r="L167" i="9"/>
  <c r="L165" i="9" s="1"/>
  <c r="L300" i="9"/>
  <c r="O300" i="9" s="1"/>
  <c r="N121" i="10"/>
  <c r="N119" i="10" s="1"/>
  <c r="L228" i="9"/>
  <c r="M134" i="9"/>
  <c r="P134" i="9" s="1"/>
  <c r="N167" i="9"/>
  <c r="N165" i="9" s="1"/>
  <c r="L121" i="10"/>
  <c r="O121" i="10" s="1"/>
  <c r="K701" i="8"/>
  <c r="M183" i="9"/>
  <c r="M181" i="9" s="1"/>
  <c r="L447" i="9"/>
  <c r="O447" i="9" s="1"/>
  <c r="N43" i="10"/>
  <c r="N41" i="10" s="1"/>
  <c r="N404" i="10"/>
  <c r="N402" i="10" s="1"/>
  <c r="P154" i="10"/>
  <c r="L72" i="9"/>
  <c r="O72" i="9" s="1"/>
  <c r="O46" i="8"/>
  <c r="O266" i="10"/>
  <c r="K338" i="10"/>
  <c r="N391" i="10"/>
  <c r="N389" i="10" s="1"/>
  <c r="L687" i="10"/>
  <c r="O687" i="10" s="1"/>
  <c r="K728" i="10"/>
  <c r="K821" i="10"/>
  <c r="K824" i="10"/>
  <c r="K827" i="10"/>
  <c r="N151" i="10"/>
  <c r="N149" i="10" s="1"/>
  <c r="L347" i="9"/>
  <c r="L345" i="9" s="1"/>
  <c r="N44" i="10"/>
  <c r="O44" i="10" s="1"/>
  <c r="M121" i="10"/>
  <c r="L155" i="10"/>
  <c r="O155" i="10" s="1"/>
  <c r="L167" i="10"/>
  <c r="L165" i="10" s="1"/>
  <c r="L230" i="10"/>
  <c r="N263" i="10"/>
  <c r="N261" i="10" s="1"/>
  <c r="I628" i="10"/>
  <c r="K628" i="10" s="1"/>
  <c r="J721" i="10"/>
  <c r="K721" i="10" s="1"/>
  <c r="N43" i="9"/>
  <c r="N41" i="9" s="1"/>
  <c r="L230" i="9"/>
  <c r="M134" i="10"/>
  <c r="P134" i="10" s="1"/>
  <c r="L330" i="9"/>
  <c r="L328" i="9" s="1"/>
  <c r="M317" i="10"/>
  <c r="P317" i="10" s="1"/>
  <c r="O184" i="10"/>
  <c r="L209" i="10"/>
  <c r="O209" i="10" s="1"/>
  <c r="M279" i="10"/>
  <c r="P279" i="10" s="1"/>
  <c r="N405" i="10"/>
  <c r="I260" i="7"/>
  <c r="K260" i="7" s="1"/>
  <c r="O791" i="8"/>
  <c r="N279" i="9"/>
  <c r="N277" i="9" s="1"/>
  <c r="P61" i="10"/>
  <c r="M90" i="10"/>
  <c r="M88" i="10" s="1"/>
  <c r="L263" i="10"/>
  <c r="N279" i="10"/>
  <c r="N277" i="10" s="1"/>
  <c r="M330" i="10"/>
  <c r="M328" i="10" s="1"/>
  <c r="P410" i="10"/>
  <c r="O660" i="10"/>
  <c r="N391" i="9"/>
  <c r="N389" i="9" s="1"/>
  <c r="K460" i="10"/>
  <c r="N68" i="8"/>
  <c r="N66" i="8" s="1"/>
  <c r="N134" i="10"/>
  <c r="N132" i="10" s="1"/>
  <c r="M263" i="10"/>
  <c r="M280" i="10"/>
  <c r="P280" i="10" s="1"/>
  <c r="N330" i="10"/>
  <c r="N328" i="10" s="1"/>
  <c r="O336" i="10"/>
  <c r="I434" i="10"/>
  <c r="I418" i="10" s="1"/>
  <c r="K418" i="10" s="1"/>
  <c r="K729" i="10"/>
  <c r="J722" i="9"/>
  <c r="K722" i="9" s="1"/>
  <c r="P91" i="10"/>
  <c r="L391" i="10"/>
  <c r="L389" i="10" s="1"/>
  <c r="O389" i="10" s="1"/>
  <c r="I314" i="9"/>
  <c r="K314" i="9" s="1"/>
  <c r="L404" i="9"/>
  <c r="O404" i="9" s="1"/>
  <c r="L183" i="10"/>
  <c r="L181" i="10" s="1"/>
  <c r="I237" i="10"/>
  <c r="K237" i="10" s="1"/>
  <c r="N264" i="10"/>
  <c r="P266" i="10"/>
  <c r="J433" i="10"/>
  <c r="J417" i="10" s="1"/>
  <c r="K701" i="10"/>
  <c r="I275" i="6"/>
  <c r="K275" i="6" s="1"/>
  <c r="J721" i="8"/>
  <c r="K721" i="8" s="1"/>
  <c r="L421" i="10"/>
  <c r="O421" i="10" s="1"/>
  <c r="K824" i="8"/>
  <c r="K728" i="9"/>
  <c r="L187" i="10"/>
  <c r="O187" i="10" s="1"/>
  <c r="L405" i="10"/>
  <c r="O405" i="10" s="1"/>
  <c r="M404" i="10"/>
  <c r="P404" i="10" s="1"/>
  <c r="M59" i="9"/>
  <c r="P59" i="9" s="1"/>
  <c r="K176" i="9"/>
  <c r="L317" i="9"/>
  <c r="O317" i="9" s="1"/>
  <c r="L392" i="9"/>
  <c r="O392" i="9" s="1"/>
  <c r="K146" i="10"/>
  <c r="O168" i="10"/>
  <c r="L231" i="10"/>
  <c r="M300" i="10"/>
  <c r="P300" i="10" s="1"/>
  <c r="N395" i="10"/>
  <c r="P407" i="10"/>
  <c r="I559" i="10"/>
  <c r="I543" i="10" s="1"/>
  <c r="K543" i="10" s="1"/>
  <c r="J722" i="10"/>
  <c r="K722" i="10" s="1"/>
  <c r="I443" i="9"/>
  <c r="K443" i="9" s="1"/>
  <c r="L33" i="10"/>
  <c r="L31" i="10" s="1"/>
  <c r="L43" i="10"/>
  <c r="L41" i="10" s="1"/>
  <c r="L55" i="10"/>
  <c r="L53" i="10" s="1"/>
  <c r="I86" i="10"/>
  <c r="K86" i="10" s="1"/>
  <c r="L283" i="10"/>
  <c r="O283" i="10" s="1"/>
  <c r="N300" i="10"/>
  <c r="N298" i="10" s="1"/>
  <c r="P303" i="10"/>
  <c r="L408" i="10"/>
  <c r="O408" i="10" s="1"/>
  <c r="I654" i="10"/>
  <c r="K654" i="10" s="1"/>
  <c r="K822" i="10"/>
  <c r="L454" i="7"/>
  <c r="O454" i="7" s="1"/>
  <c r="P58" i="10"/>
  <c r="L122" i="10"/>
  <c r="O122" i="10" s="1"/>
  <c r="O124" i="10"/>
  <c r="L134" i="10"/>
  <c r="O134" i="10" s="1"/>
  <c r="M151" i="10"/>
  <c r="P184" i="10"/>
  <c r="L228" i="10"/>
  <c r="L264" i="10"/>
  <c r="M283" i="10"/>
  <c r="P283" i="10" s="1"/>
  <c r="L304" i="10"/>
  <c r="O304" i="10" s="1"/>
  <c r="P306" i="10"/>
  <c r="L404" i="10"/>
  <c r="O404" i="10" s="1"/>
  <c r="I443" i="10"/>
  <c r="K443" i="10" s="1"/>
  <c r="I522" i="10"/>
  <c r="K522" i="10" s="1"/>
  <c r="L546" i="10"/>
  <c r="O546" i="10" s="1"/>
  <c r="M391" i="6"/>
  <c r="P391" i="6" s="1"/>
  <c r="M152" i="9"/>
  <c r="P152" i="9" s="1"/>
  <c r="L59" i="10"/>
  <c r="O59" i="10" s="1"/>
  <c r="O91" i="10"/>
  <c r="O170" i="10"/>
  <c r="I260" i="10"/>
  <c r="K260" i="10" s="1"/>
  <c r="L279" i="10"/>
  <c r="O279" i="10" s="1"/>
  <c r="M171" i="9"/>
  <c r="P171" i="9" s="1"/>
  <c r="M187" i="9"/>
  <c r="P187" i="9" s="1"/>
  <c r="L405" i="9"/>
  <c r="O405" i="9" s="1"/>
  <c r="P168" i="10"/>
  <c r="O186" i="10"/>
  <c r="L300" i="10"/>
  <c r="L298" i="10" s="1"/>
  <c r="O298" i="10" s="1"/>
  <c r="P350" i="10"/>
  <c r="K720" i="10"/>
  <c r="M43" i="8"/>
  <c r="M41" i="8" s="1"/>
  <c r="N121" i="8"/>
  <c r="N119" i="8" s="1"/>
  <c r="M125" i="8"/>
  <c r="P125" i="8" s="1"/>
  <c r="K159" i="9"/>
  <c r="O93" i="10"/>
  <c r="K111" i="10"/>
  <c r="N122" i="10"/>
  <c r="K204" i="10"/>
  <c r="L249" i="10"/>
  <c r="O249" i="10" s="1"/>
  <c r="M318" i="10"/>
  <c r="P318" i="10" s="1"/>
  <c r="N331" i="10"/>
  <c r="O331" i="10" s="1"/>
  <c r="M422" i="10"/>
  <c r="P422" i="10" s="1"/>
  <c r="K435" i="10"/>
  <c r="M549" i="10"/>
  <c r="M547" i="10" s="1"/>
  <c r="P547" i="10" s="1"/>
  <c r="J288" i="6"/>
  <c r="J275" i="6" s="1"/>
  <c r="I364" i="7"/>
  <c r="M134" i="8"/>
  <c r="P134" i="8" s="1"/>
  <c r="L155" i="8"/>
  <c r="O155" i="8" s="1"/>
  <c r="P306" i="9"/>
  <c r="M549" i="9"/>
  <c r="M546" i="9" s="1"/>
  <c r="I785" i="9"/>
  <c r="K785" i="9" s="1"/>
  <c r="M55" i="10"/>
  <c r="L68" i="10"/>
  <c r="O68" i="10" s="1"/>
  <c r="I76" i="10"/>
  <c r="L94" i="10"/>
  <c r="O94" i="10" s="1"/>
  <c r="I112" i="10"/>
  <c r="K112" i="10" s="1"/>
  <c r="P124" i="10"/>
  <c r="P157" i="10"/>
  <c r="K176" i="10"/>
  <c r="L198" i="10"/>
  <c r="O198" i="10" s="1"/>
  <c r="I216" i="10"/>
  <c r="K216" i="10" s="1"/>
  <c r="L238" i="10"/>
  <c r="O238" i="10" s="1"/>
  <c r="L267" i="10"/>
  <c r="O267" i="10" s="1"/>
  <c r="K287" i="10"/>
  <c r="P320" i="10"/>
  <c r="N347" i="10"/>
  <c r="N345" i="10" s="1"/>
  <c r="I433" i="10"/>
  <c r="I417" i="10" s="1"/>
  <c r="K440" i="10"/>
  <c r="L454" i="10"/>
  <c r="O454" i="10" s="1"/>
  <c r="L547" i="10"/>
  <c r="O547" i="10" s="1"/>
  <c r="K825" i="10"/>
  <c r="K828" i="10"/>
  <c r="M121" i="9"/>
  <c r="P121" i="9" s="1"/>
  <c r="K145" i="9"/>
  <c r="M301" i="9"/>
  <c r="P301" i="9" s="1"/>
  <c r="L547" i="9"/>
  <c r="O547" i="9" s="1"/>
  <c r="N26" i="10"/>
  <c r="N55" i="10"/>
  <c r="N53" i="10" s="1"/>
  <c r="I77" i="10"/>
  <c r="K77" i="10" s="1"/>
  <c r="L90" i="10"/>
  <c r="L88" i="10" s="1"/>
  <c r="K115" i="10"/>
  <c r="L125" i="10"/>
  <c r="O125" i="10" s="1"/>
  <c r="L152" i="10"/>
  <c r="O152" i="10" s="1"/>
  <c r="L171" i="10"/>
  <c r="O171" i="10" s="1"/>
  <c r="I190" i="10"/>
  <c r="K190" i="10" s="1"/>
  <c r="M321" i="10"/>
  <c r="P321" i="10" s="1"/>
  <c r="J327" i="10"/>
  <c r="K327" i="10" s="1"/>
  <c r="M348" i="10"/>
  <c r="P348" i="10" s="1"/>
  <c r="O549" i="10"/>
  <c r="K725" i="10"/>
  <c r="L788" i="10"/>
  <c r="O788" i="10" s="1"/>
  <c r="L151" i="10"/>
  <c r="O151" i="10" s="1"/>
  <c r="M183" i="10"/>
  <c r="M181" i="10" s="1"/>
  <c r="I208" i="10"/>
  <c r="K208" i="10" s="1"/>
  <c r="P269" i="10"/>
  <c r="L301" i="10"/>
  <c r="O301" i="10" s="1"/>
  <c r="O303" i="10"/>
  <c r="N317" i="10"/>
  <c r="N315" i="10" s="1"/>
  <c r="J537" i="10"/>
  <c r="J522" i="10" s="1"/>
  <c r="K673" i="10"/>
  <c r="K649" i="7"/>
  <c r="P320" i="9"/>
  <c r="M405" i="9"/>
  <c r="P405" i="9" s="1"/>
  <c r="L454" i="9"/>
  <c r="O454" i="9" s="1"/>
  <c r="K726" i="9"/>
  <c r="O58" i="10"/>
  <c r="P127" i="10"/>
  <c r="M167" i="10"/>
  <c r="M165" i="10" s="1"/>
  <c r="I233" i="10"/>
  <c r="K233" i="10" s="1"/>
  <c r="K325" i="10"/>
  <c r="L330" i="10"/>
  <c r="L328" i="10" s="1"/>
  <c r="K340" i="10"/>
  <c r="L470" i="10"/>
  <c r="O470" i="10" s="1"/>
  <c r="K669" i="10"/>
  <c r="K726" i="10"/>
  <c r="N19" i="10"/>
  <c r="N12" i="10"/>
  <c r="O323" i="10"/>
  <c r="L321" i="10"/>
  <c r="O321" i="10" s="1"/>
  <c r="L26" i="10"/>
  <c r="L24" i="10" s="1"/>
  <c r="P525" i="10"/>
  <c r="M523" i="10"/>
  <c r="P523" i="10" s="1"/>
  <c r="P738" i="10"/>
  <c r="M737" i="10"/>
  <c r="P737" i="10" s="1"/>
  <c r="P771" i="10"/>
  <c r="M770" i="10"/>
  <c r="P770" i="10" s="1"/>
  <c r="P788" i="10"/>
  <c r="M786" i="10"/>
  <c r="P786" i="10" s="1"/>
  <c r="P807" i="10"/>
  <c r="M805" i="10"/>
  <c r="P805" i="10" s="1"/>
  <c r="L230" i="7"/>
  <c r="M55" i="8"/>
  <c r="M53" i="8" s="1"/>
  <c r="I87" i="8"/>
  <c r="K87" i="8" s="1"/>
  <c r="N90" i="8"/>
  <c r="N88" i="8" s="1"/>
  <c r="K708" i="8"/>
  <c r="K729" i="8"/>
  <c r="K826" i="8"/>
  <c r="I77" i="9"/>
  <c r="K77" i="9" s="1"/>
  <c r="I86" i="9"/>
  <c r="K86" i="9" s="1"/>
  <c r="M90" i="9"/>
  <c r="M88" i="9" s="1"/>
  <c r="M94" i="9"/>
  <c r="P94" i="9" s="1"/>
  <c r="O140" i="9"/>
  <c r="L138" i="9"/>
  <c r="O138" i="9" s="1"/>
  <c r="M184" i="9"/>
  <c r="P184" i="9" s="1"/>
  <c r="L187" i="9"/>
  <c r="O187" i="9" s="1"/>
  <c r="I276" i="9"/>
  <c r="K276" i="9" s="1"/>
  <c r="N392" i="9"/>
  <c r="P419" i="10"/>
  <c r="K385" i="8"/>
  <c r="L43" i="9"/>
  <c r="L41" i="9" s="1"/>
  <c r="O157" i="9"/>
  <c r="L155" i="9"/>
  <c r="O155" i="9" s="1"/>
  <c r="I197" i="9"/>
  <c r="K197" i="9" s="1"/>
  <c r="L209" i="9"/>
  <c r="O209" i="9" s="1"/>
  <c r="O336" i="9"/>
  <c r="O353" i="9"/>
  <c r="I559" i="9"/>
  <c r="I543" i="9" s="1"/>
  <c r="K543" i="9" s="1"/>
  <c r="O67" i="10"/>
  <c r="N55" i="9"/>
  <c r="N53" i="9" s="1"/>
  <c r="O71" i="9"/>
  <c r="P157" i="9"/>
  <c r="M151" i="9"/>
  <c r="P151" i="9" s="1"/>
  <c r="M395" i="10"/>
  <c r="P395" i="10" s="1"/>
  <c r="P397" i="10"/>
  <c r="I130" i="8"/>
  <c r="K130" i="8" s="1"/>
  <c r="O91" i="9"/>
  <c r="J143" i="9"/>
  <c r="J131" i="9" s="1"/>
  <c r="L183" i="9"/>
  <c r="L181" i="9" s="1"/>
  <c r="O32" i="10"/>
  <c r="L12" i="10"/>
  <c r="L29" i="10"/>
  <c r="M68" i="10"/>
  <c r="P68" i="10" s="1"/>
  <c r="P91" i="9"/>
  <c r="O266" i="9"/>
  <c r="N264" i="9"/>
  <c r="O264" i="9" s="1"/>
  <c r="N404" i="9"/>
  <c r="N402" i="9" s="1"/>
  <c r="N405" i="9"/>
  <c r="M44" i="10"/>
  <c r="P46" i="10"/>
  <c r="M43" i="10"/>
  <c r="M23" i="10"/>
  <c r="M21" i="10" s="1"/>
  <c r="N68" i="10"/>
  <c r="N66" i="10" s="1"/>
  <c r="N23" i="10"/>
  <c r="M72" i="10"/>
  <c r="P72" i="10" s="1"/>
  <c r="P74" i="10"/>
  <c r="M26" i="10"/>
  <c r="M34" i="10"/>
  <c r="P34" i="10" s="1"/>
  <c r="M47" i="10"/>
  <c r="P47" i="10" s="1"/>
  <c r="P49" i="10"/>
  <c r="P67" i="10"/>
  <c r="J143" i="10"/>
  <c r="J131" i="10" s="1"/>
  <c r="K144" i="10"/>
  <c r="N183" i="10"/>
  <c r="L217" i="10"/>
  <c r="O217" i="10" s="1"/>
  <c r="K225" i="10"/>
  <c r="L348" i="10"/>
  <c r="O348" i="10" s="1"/>
  <c r="O350" i="10"/>
  <c r="L347" i="10"/>
  <c r="O403" i="10"/>
  <c r="P686" i="10"/>
  <c r="P42" i="10"/>
  <c r="K174" i="10"/>
  <c r="I164" i="10"/>
  <c r="K164" i="10" s="1"/>
  <c r="O282" i="10"/>
  <c r="L23" i="10"/>
  <c r="I297" i="10"/>
  <c r="K297" i="10" s="1"/>
  <c r="M331" i="10"/>
  <c r="P333" i="10"/>
  <c r="P421" i="10"/>
  <c r="K79" i="10"/>
  <c r="M135" i="10"/>
  <c r="P135" i="10" s="1"/>
  <c r="P137" i="10"/>
  <c r="L351" i="10"/>
  <c r="O351" i="10" s="1"/>
  <c r="O353" i="10"/>
  <c r="N421" i="10"/>
  <c r="N419" i="10" s="1"/>
  <c r="N33" i="10"/>
  <c r="L429" i="10"/>
  <c r="O429" i="10" s="1"/>
  <c r="L36" i="10"/>
  <c r="O431" i="10"/>
  <c r="O468" i="10"/>
  <c r="K822" i="9"/>
  <c r="K825" i="9"/>
  <c r="K828" i="9"/>
  <c r="L19" i="10"/>
  <c r="I87" i="10"/>
  <c r="K87" i="10" s="1"/>
  <c r="K99" i="10"/>
  <c r="M138" i="10"/>
  <c r="P138" i="10" s="1"/>
  <c r="P140" i="10"/>
  <c r="K197" i="10"/>
  <c r="L280" i="10"/>
  <c r="O280" i="10" s="1"/>
  <c r="O320" i="10"/>
  <c r="L317" i="10"/>
  <c r="P353" i="10"/>
  <c r="M347" i="10"/>
  <c r="J364" i="10"/>
  <c r="L392" i="10"/>
  <c r="O392" i="10" s="1"/>
  <c r="O394" i="10"/>
  <c r="P424" i="10"/>
  <c r="O449" i="10"/>
  <c r="L446" i="10"/>
  <c r="O446" i="10" s="1"/>
  <c r="M449" i="10"/>
  <c r="P22" i="10"/>
  <c r="M19" i="10"/>
  <c r="M12" i="10"/>
  <c r="M69" i="10"/>
  <c r="P69" i="10" s="1"/>
  <c r="P71" i="10"/>
  <c r="N90" i="10"/>
  <c r="P133" i="10"/>
  <c r="I148" i="10"/>
  <c r="K148" i="10" s="1"/>
  <c r="N167" i="10"/>
  <c r="P351" i="10"/>
  <c r="I364" i="10"/>
  <c r="K364" i="10" s="1"/>
  <c r="K365" i="10"/>
  <c r="P394" i="10"/>
  <c r="M391" i="10"/>
  <c r="O46" i="10"/>
  <c r="O49" i="10"/>
  <c r="O71" i="10"/>
  <c r="O74" i="10"/>
  <c r="P93" i="10"/>
  <c r="P96" i="10"/>
  <c r="O137" i="10"/>
  <c r="O140" i="10"/>
  <c r="P170" i="10"/>
  <c r="P173" i="10"/>
  <c r="P186" i="10"/>
  <c r="P189" i="10"/>
  <c r="O333" i="10"/>
  <c r="P336" i="10"/>
  <c r="O397" i="10"/>
  <c r="O503" i="10"/>
  <c r="L502" i="10"/>
  <c r="O502" i="10" s="1"/>
  <c r="I592" i="10"/>
  <c r="K592" i="10" s="1"/>
  <c r="K593" i="10"/>
  <c r="K723" i="10"/>
  <c r="O787" i="10"/>
  <c r="I785" i="10"/>
  <c r="K785" i="10" s="1"/>
  <c r="K800" i="10"/>
  <c r="O806" i="10"/>
  <c r="L805" i="10"/>
  <c r="O805" i="10" s="1"/>
  <c r="N56" i="10"/>
  <c r="P56" i="10" s="1"/>
  <c r="O524" i="10"/>
  <c r="P631" i="10"/>
  <c r="M629" i="10"/>
  <c r="P629" i="10" s="1"/>
  <c r="I143" i="10"/>
  <c r="L229" i="10"/>
  <c r="I248" i="10"/>
  <c r="K248" i="10" s="1"/>
  <c r="O424" i="10"/>
  <c r="L422" i="10"/>
  <c r="O422" i="10" s="1"/>
  <c r="N470" i="10"/>
  <c r="N502" i="10"/>
  <c r="P755" i="10"/>
  <c r="M754" i="10"/>
  <c r="P754" i="10" s="1"/>
  <c r="N805" i="10"/>
  <c r="O445" i="10"/>
  <c r="O479" i="10"/>
  <c r="L469" i="10"/>
  <c r="O469" i="10" s="1"/>
  <c r="O630" i="10"/>
  <c r="L533" i="10"/>
  <c r="O533" i="10" s="1"/>
  <c r="K675" i="10"/>
  <c r="L525" i="10"/>
  <c r="O525" i="10" s="1"/>
  <c r="L639" i="10"/>
  <c r="O639" i="10" s="1"/>
  <c r="L655" i="10"/>
  <c r="O655" i="10" s="1"/>
  <c r="K672" i="10"/>
  <c r="L688" i="10"/>
  <c r="O688" i="10" s="1"/>
  <c r="M690" i="10"/>
  <c r="L631" i="10"/>
  <c r="O631" i="10" s="1"/>
  <c r="N300" i="9"/>
  <c r="N298" i="9" s="1"/>
  <c r="M300" i="5"/>
  <c r="M298" i="5" s="1"/>
  <c r="M155" i="8"/>
  <c r="P155" i="8" s="1"/>
  <c r="O44" i="9"/>
  <c r="O46" i="9"/>
  <c r="K146" i="9"/>
  <c r="L26" i="9"/>
  <c r="L24" i="9" s="1"/>
  <c r="N317" i="9"/>
  <c r="N315" i="9" s="1"/>
  <c r="K669" i="9"/>
  <c r="L789" i="9"/>
  <c r="O789" i="9" s="1"/>
  <c r="L230" i="6"/>
  <c r="P46" i="8"/>
  <c r="N167" i="8"/>
  <c r="N165" i="8" s="1"/>
  <c r="L47" i="9"/>
  <c r="O47" i="9" s="1"/>
  <c r="M125" i="9"/>
  <c r="P125" i="9" s="1"/>
  <c r="P127" i="9"/>
  <c r="L134" i="9"/>
  <c r="O134" i="9" s="1"/>
  <c r="L168" i="9"/>
  <c r="L229" i="9"/>
  <c r="L318" i="9"/>
  <c r="O318" i="9" s="1"/>
  <c r="P353" i="9"/>
  <c r="L408" i="9"/>
  <c r="O408" i="9" s="1"/>
  <c r="M424" i="9"/>
  <c r="P424" i="9" s="1"/>
  <c r="I522" i="9"/>
  <c r="K522" i="9" s="1"/>
  <c r="L555" i="9"/>
  <c r="O555" i="9" s="1"/>
  <c r="K369" i="7"/>
  <c r="K372" i="7"/>
  <c r="O49" i="9"/>
  <c r="M267" i="9"/>
  <c r="P267" i="9" s="1"/>
  <c r="O320" i="9"/>
  <c r="L688" i="9"/>
  <c r="O688" i="9" s="1"/>
  <c r="N56" i="9"/>
  <c r="O56" i="9" s="1"/>
  <c r="L59" i="9"/>
  <c r="O59" i="9" s="1"/>
  <c r="I112" i="9"/>
  <c r="K112" i="9" s="1"/>
  <c r="L217" i="9"/>
  <c r="O217" i="9" s="1"/>
  <c r="L546" i="9"/>
  <c r="O546" i="9" s="1"/>
  <c r="L68" i="9"/>
  <c r="O68" i="9" s="1"/>
  <c r="L788" i="9"/>
  <c r="O788" i="9" s="1"/>
  <c r="K823" i="9"/>
  <c r="K826" i="9"/>
  <c r="O657" i="9"/>
  <c r="L655" i="9"/>
  <c r="O655" i="9" s="1"/>
  <c r="L134" i="8"/>
  <c r="O134" i="8" s="1"/>
  <c r="P44" i="9"/>
  <c r="N168" i="9"/>
  <c r="P168" i="9" s="1"/>
  <c r="O170" i="9"/>
  <c r="O186" i="9"/>
  <c r="L279" i="9"/>
  <c r="M279" i="9"/>
  <c r="P279" i="9" s="1"/>
  <c r="K309" i="9"/>
  <c r="L321" i="9"/>
  <c r="O321" i="9" s="1"/>
  <c r="K340" i="9"/>
  <c r="L395" i="9"/>
  <c r="O395" i="9" s="1"/>
  <c r="K460" i="9"/>
  <c r="L470" i="9"/>
  <c r="O470" i="9" s="1"/>
  <c r="L526" i="9"/>
  <c r="O526" i="9" s="1"/>
  <c r="O660" i="9"/>
  <c r="M391" i="8"/>
  <c r="P391" i="8" s="1"/>
  <c r="O422" i="8"/>
  <c r="L135" i="9"/>
  <c r="O135" i="9" s="1"/>
  <c r="K144" i="9"/>
  <c r="L231" i="9"/>
  <c r="L280" i="9"/>
  <c r="O280" i="9" s="1"/>
  <c r="L283" i="9"/>
  <c r="O283" i="9" s="1"/>
  <c r="O351" i="9"/>
  <c r="L391" i="9"/>
  <c r="M395" i="9"/>
  <c r="P395" i="9" s="1"/>
  <c r="I434" i="9"/>
  <c r="I418" i="9" s="1"/>
  <c r="K418" i="9" s="1"/>
  <c r="M690" i="9"/>
  <c r="P140" i="8"/>
  <c r="O170" i="8"/>
  <c r="N404" i="8"/>
  <c r="N402" i="8" s="1"/>
  <c r="O535" i="8"/>
  <c r="I76" i="9"/>
  <c r="K76" i="9" s="1"/>
  <c r="O269" i="9"/>
  <c r="L331" i="9"/>
  <c r="M391" i="9"/>
  <c r="P391" i="9" s="1"/>
  <c r="O535" i="9"/>
  <c r="L687" i="9"/>
  <c r="L685" i="9" s="1"/>
  <c r="O685" i="9" s="1"/>
  <c r="J721" i="9"/>
  <c r="K721" i="9" s="1"/>
  <c r="L267" i="8"/>
  <c r="O267" i="8" s="1"/>
  <c r="K379" i="8"/>
  <c r="N26" i="9"/>
  <c r="N16" i="9" s="1"/>
  <c r="N14" i="9" s="1"/>
  <c r="O58" i="9"/>
  <c r="M68" i="9"/>
  <c r="P68" i="9" s="1"/>
  <c r="L198" i="9"/>
  <c r="O198" i="9" s="1"/>
  <c r="I208" i="9"/>
  <c r="K208" i="9" s="1"/>
  <c r="M263" i="9"/>
  <c r="M261" i="9" s="1"/>
  <c r="P261" i="9" s="1"/>
  <c r="J327" i="9"/>
  <c r="K327" i="9" s="1"/>
  <c r="L348" i="9"/>
  <c r="L422" i="9"/>
  <c r="O422" i="9" s="1"/>
  <c r="M267" i="8"/>
  <c r="P267" i="8" s="1"/>
  <c r="K822" i="8"/>
  <c r="L33" i="9"/>
  <c r="L31" i="9" s="1"/>
  <c r="O31" i="9" s="1"/>
  <c r="M23" i="9"/>
  <c r="M21" i="9" s="1"/>
  <c r="P186" i="9"/>
  <c r="K338" i="9"/>
  <c r="L525" i="9"/>
  <c r="O525" i="9" s="1"/>
  <c r="K821" i="9"/>
  <c r="K824" i="9"/>
  <c r="K827" i="9"/>
  <c r="I164" i="9"/>
  <c r="K164" i="9" s="1"/>
  <c r="K174" i="9"/>
  <c r="O19" i="9"/>
  <c r="O29" i="9"/>
  <c r="N30" i="9"/>
  <c r="P170" i="9"/>
  <c r="M167" i="9"/>
  <c r="K288" i="9"/>
  <c r="J288" i="9"/>
  <c r="J275" i="9" s="1"/>
  <c r="P504" i="9"/>
  <c r="M502" i="9"/>
  <c r="P502" i="9" s="1"/>
  <c r="O545" i="9"/>
  <c r="M629" i="9"/>
  <c r="P629" i="9" s="1"/>
  <c r="P631" i="9"/>
  <c r="P807" i="9"/>
  <c r="M805" i="9"/>
  <c r="P805" i="9" s="1"/>
  <c r="L231" i="7"/>
  <c r="P266" i="7"/>
  <c r="I442" i="7"/>
  <c r="K442" i="7" s="1"/>
  <c r="M47" i="8"/>
  <c r="P47" i="8" s="1"/>
  <c r="P93" i="8"/>
  <c r="L125" i="8"/>
  <c r="O125" i="8" s="1"/>
  <c r="N183" i="8"/>
  <c r="N181" i="8" s="1"/>
  <c r="O186" i="8"/>
  <c r="L231" i="8"/>
  <c r="M318" i="8"/>
  <c r="P318" i="8" s="1"/>
  <c r="N347" i="8"/>
  <c r="N345" i="8" s="1"/>
  <c r="M392" i="8"/>
  <c r="P392" i="8" s="1"/>
  <c r="M395" i="8"/>
  <c r="P395" i="8" s="1"/>
  <c r="P25" i="9"/>
  <c r="M15" i="9"/>
  <c r="L36" i="9"/>
  <c r="L34" i="9" s="1"/>
  <c r="O34" i="9" s="1"/>
  <c r="L55" i="9"/>
  <c r="K79" i="9"/>
  <c r="O96" i="9"/>
  <c r="K99" i="9"/>
  <c r="L122" i="9"/>
  <c r="O122" i="9" s="1"/>
  <c r="K143" i="9"/>
  <c r="L151" i="9"/>
  <c r="N227" i="9"/>
  <c r="M264" i="9"/>
  <c r="L301" i="9"/>
  <c r="O301" i="9" s="1"/>
  <c r="O303" i="9"/>
  <c r="M347" i="9"/>
  <c r="P390" i="9"/>
  <c r="L502" i="9"/>
  <c r="O502" i="9" s="1"/>
  <c r="O503" i="9"/>
  <c r="N788" i="9"/>
  <c r="N789" i="9"/>
  <c r="M187" i="8"/>
  <c r="P187" i="8" s="1"/>
  <c r="O301" i="8"/>
  <c r="L330" i="8"/>
  <c r="L328" i="8" s="1"/>
  <c r="N29" i="9"/>
  <c r="N28" i="9" s="1"/>
  <c r="P32" i="9"/>
  <c r="M29" i="9"/>
  <c r="M43" i="9"/>
  <c r="N23" i="9"/>
  <c r="M55" i="9"/>
  <c r="P58" i="9"/>
  <c r="N68" i="9"/>
  <c r="N66" i="9" s="1"/>
  <c r="L90" i="9"/>
  <c r="K100" i="9"/>
  <c r="N134" i="9"/>
  <c r="N132" i="9" s="1"/>
  <c r="L171" i="9"/>
  <c r="O171" i="9" s="1"/>
  <c r="O173" i="9"/>
  <c r="M280" i="9"/>
  <c r="P280" i="9" s="1"/>
  <c r="P282" i="9"/>
  <c r="M300" i="9"/>
  <c r="P316" i="9"/>
  <c r="M330" i="9"/>
  <c r="N279" i="8"/>
  <c r="N277" i="8" s="1"/>
  <c r="O25" i="9"/>
  <c r="P49" i="9"/>
  <c r="M72" i="9"/>
  <c r="P72" i="9" s="1"/>
  <c r="P74" i="9"/>
  <c r="O93" i="9"/>
  <c r="L121" i="9"/>
  <c r="M138" i="9"/>
  <c r="P138" i="9" s="1"/>
  <c r="P140" i="9"/>
  <c r="N151" i="9"/>
  <c r="N149" i="9" s="1"/>
  <c r="K193" i="9"/>
  <c r="I190" i="9"/>
  <c r="K190" i="9" s="1"/>
  <c r="P266" i="9"/>
  <c r="I275" i="9"/>
  <c r="K275" i="9" s="1"/>
  <c r="M283" i="9"/>
  <c r="P283" i="9" s="1"/>
  <c r="P285" i="9"/>
  <c r="M321" i="9"/>
  <c r="P321" i="9" s="1"/>
  <c r="M317" i="9"/>
  <c r="P317" i="9" s="1"/>
  <c r="P323" i="9"/>
  <c r="N348" i="9"/>
  <c r="N347" i="9"/>
  <c r="P410" i="9"/>
  <c r="M408" i="9"/>
  <c r="P408" i="9" s="1"/>
  <c r="N544" i="9"/>
  <c r="O641" i="9"/>
  <c r="L631" i="9"/>
  <c r="O631" i="9" s="1"/>
  <c r="O739" i="9"/>
  <c r="L737" i="9"/>
  <c r="O737" i="9" s="1"/>
  <c r="L36" i="8"/>
  <c r="O36" i="8" s="1"/>
  <c r="P137" i="8"/>
  <c r="L279" i="8"/>
  <c r="L277" i="8" s="1"/>
  <c r="O351" i="8"/>
  <c r="M408" i="8"/>
  <c r="P408" i="8" s="1"/>
  <c r="K728" i="8"/>
  <c r="K828" i="8"/>
  <c r="P12" i="9"/>
  <c r="L15" i="9"/>
  <c r="L23" i="9"/>
  <c r="L21" i="9" s="1"/>
  <c r="M34" i="9"/>
  <c r="P34" i="9" s="1"/>
  <c r="P46" i="9"/>
  <c r="N90" i="9"/>
  <c r="P93" i="9"/>
  <c r="K115" i="9"/>
  <c r="L125" i="9"/>
  <c r="O125" i="9" s="1"/>
  <c r="L184" i="9"/>
  <c r="O184" i="9" s="1"/>
  <c r="N280" i="9"/>
  <c r="N331" i="9"/>
  <c r="N330" i="9"/>
  <c r="M351" i="9"/>
  <c r="P351" i="9" s="1"/>
  <c r="K365" i="9"/>
  <c r="I364" i="9"/>
  <c r="K364" i="9" s="1"/>
  <c r="L639" i="9"/>
  <c r="O639" i="9" s="1"/>
  <c r="K370" i="7"/>
  <c r="K111" i="8"/>
  <c r="M183" i="8"/>
  <c r="M181" i="8" s="1"/>
  <c r="N12" i="9"/>
  <c r="M26" i="9"/>
  <c r="O35" i="9"/>
  <c r="M69" i="9"/>
  <c r="P69" i="9" s="1"/>
  <c r="P71" i="9"/>
  <c r="K87" i="9"/>
  <c r="N121" i="9"/>
  <c r="N119" i="9" s="1"/>
  <c r="M135" i="9"/>
  <c r="P135" i="9" s="1"/>
  <c r="P137" i="9"/>
  <c r="L152" i="9"/>
  <c r="O152" i="9" s="1"/>
  <c r="I216" i="9"/>
  <c r="K216" i="9" s="1"/>
  <c r="K224" i="9"/>
  <c r="M334" i="9"/>
  <c r="P334" i="9" s="1"/>
  <c r="J364" i="9"/>
  <c r="N469" i="9"/>
  <c r="N467" i="9" s="1"/>
  <c r="N414" i="9" s="1"/>
  <c r="N470" i="9"/>
  <c r="N786" i="9"/>
  <c r="I233" i="9"/>
  <c r="K233" i="9" s="1"/>
  <c r="K244" i="9"/>
  <c r="I237" i="9"/>
  <c r="K255" i="9"/>
  <c r="I248" i="9"/>
  <c r="K248" i="9" s="1"/>
  <c r="O306" i="9"/>
  <c r="O333" i="9"/>
  <c r="O350" i="9"/>
  <c r="P525" i="9"/>
  <c r="M523" i="9"/>
  <c r="P523" i="9" s="1"/>
  <c r="J537" i="9"/>
  <c r="J522" i="9" s="1"/>
  <c r="P771" i="9"/>
  <c r="M770" i="9"/>
  <c r="P770" i="9" s="1"/>
  <c r="N525" i="9"/>
  <c r="N526" i="9"/>
  <c r="N183" i="9"/>
  <c r="L238" i="9"/>
  <c r="L249" i="9"/>
  <c r="O249" i="9" s="1"/>
  <c r="L263" i="9"/>
  <c r="O263" i="9" s="1"/>
  <c r="L446" i="9"/>
  <c r="K674" i="9"/>
  <c r="K675" i="9"/>
  <c r="K672" i="9"/>
  <c r="K673" i="9"/>
  <c r="P394" i="9"/>
  <c r="M392" i="9"/>
  <c r="P392" i="9" s="1"/>
  <c r="M404" i="9"/>
  <c r="L421" i="9"/>
  <c r="O421" i="9" s="1"/>
  <c r="N523" i="9"/>
  <c r="I592" i="9"/>
  <c r="K593" i="9"/>
  <c r="K720" i="9"/>
  <c r="P333" i="9"/>
  <c r="P350" i="9"/>
  <c r="O524" i="9"/>
  <c r="N655" i="9"/>
  <c r="K723" i="9"/>
  <c r="O806" i="9"/>
  <c r="L805" i="9"/>
  <c r="O805" i="9" s="1"/>
  <c r="K435" i="9"/>
  <c r="J433" i="9"/>
  <c r="J417" i="9" s="1"/>
  <c r="K417" i="9" s="1"/>
  <c r="O479" i="9"/>
  <c r="L469" i="9"/>
  <c r="O469" i="9" s="1"/>
  <c r="J593" i="9"/>
  <c r="J592" i="9" s="1"/>
  <c r="O630" i="9"/>
  <c r="K725" i="9"/>
  <c r="O787" i="9"/>
  <c r="L283" i="7"/>
  <c r="O283" i="7" s="1"/>
  <c r="N43" i="8"/>
  <c r="N41" i="8" s="1"/>
  <c r="K159" i="5"/>
  <c r="L55" i="6"/>
  <c r="L53" i="6" s="1"/>
  <c r="M317" i="6"/>
  <c r="P317" i="6" s="1"/>
  <c r="N68" i="7"/>
  <c r="N66" i="7" s="1"/>
  <c r="M300" i="7"/>
  <c r="P300" i="7" s="1"/>
  <c r="O472" i="7"/>
  <c r="N23" i="8"/>
  <c r="L44" i="8"/>
  <c r="O44" i="8" s="1"/>
  <c r="O58" i="8"/>
  <c r="L198" i="8"/>
  <c r="O198" i="8" s="1"/>
  <c r="I233" i="8"/>
  <c r="K233" i="8" s="1"/>
  <c r="I237" i="8"/>
  <c r="K237" i="8" s="1"/>
  <c r="I276" i="8"/>
  <c r="K276" i="8" s="1"/>
  <c r="M424" i="8"/>
  <c r="M421" i="8" s="1"/>
  <c r="O157" i="6"/>
  <c r="N121" i="5"/>
  <c r="N119" i="5" s="1"/>
  <c r="I559" i="5"/>
  <c r="K559" i="5" s="1"/>
  <c r="P323" i="6"/>
  <c r="J364" i="6"/>
  <c r="L446" i="6"/>
  <c r="O446" i="6" s="1"/>
  <c r="M69" i="7"/>
  <c r="P69" i="7" s="1"/>
  <c r="M317" i="7"/>
  <c r="M315" i="7" s="1"/>
  <c r="P315" i="7" s="1"/>
  <c r="M44" i="8"/>
  <c r="P44" i="8" s="1"/>
  <c r="L55" i="8"/>
  <c r="L53" i="8" s="1"/>
  <c r="I76" i="8"/>
  <c r="I64" i="8" s="1"/>
  <c r="K64" i="8" s="1"/>
  <c r="M122" i="8"/>
  <c r="P122" i="8" s="1"/>
  <c r="M167" i="8"/>
  <c r="P167" i="8" s="1"/>
  <c r="L183" i="8"/>
  <c r="L181" i="8" s="1"/>
  <c r="N280" i="8"/>
  <c r="P280" i="8" s="1"/>
  <c r="M283" i="8"/>
  <c r="P283" i="8" s="1"/>
  <c r="O285" i="8"/>
  <c r="M321" i="8"/>
  <c r="P321" i="8" s="1"/>
  <c r="P351" i="8"/>
  <c r="K725" i="8"/>
  <c r="K823" i="8"/>
  <c r="N26" i="8"/>
  <c r="N16" i="8" s="1"/>
  <c r="N14" i="8" s="1"/>
  <c r="L59" i="8"/>
  <c r="O59" i="8" s="1"/>
  <c r="N151" i="8"/>
  <c r="N149" i="8" s="1"/>
  <c r="L171" i="8"/>
  <c r="O171" i="8" s="1"/>
  <c r="I216" i="8"/>
  <c r="K216" i="8" s="1"/>
  <c r="L229" i="8"/>
  <c r="I260" i="8"/>
  <c r="K260" i="8" s="1"/>
  <c r="M317" i="8"/>
  <c r="N348" i="8"/>
  <c r="P348" i="8" s="1"/>
  <c r="J364" i="8"/>
  <c r="I434" i="8"/>
  <c r="I418" i="8" s="1"/>
  <c r="K418" i="8" s="1"/>
  <c r="K651" i="8"/>
  <c r="L657" i="8"/>
  <c r="L655" i="8" s="1"/>
  <c r="O655" i="8" s="1"/>
  <c r="K378" i="7"/>
  <c r="I443" i="7"/>
  <c r="K443" i="7" s="1"/>
  <c r="I654" i="7"/>
  <c r="K654" i="7" s="1"/>
  <c r="I77" i="8"/>
  <c r="I65" i="8" s="1"/>
  <c r="K65" i="8" s="1"/>
  <c r="L209" i="8"/>
  <c r="O209" i="8" s="1"/>
  <c r="L238" i="8"/>
  <c r="O238" i="8" s="1"/>
  <c r="N317" i="8"/>
  <c r="N315" i="8" s="1"/>
  <c r="K381" i="8"/>
  <c r="K827" i="8"/>
  <c r="P449" i="8"/>
  <c r="M447" i="8"/>
  <c r="P447" i="8" s="1"/>
  <c r="M446" i="8"/>
  <c r="P446" i="8" s="1"/>
  <c r="O127" i="6"/>
  <c r="L300" i="7"/>
  <c r="O300" i="7" s="1"/>
  <c r="L392" i="7"/>
  <c r="O392" i="7" s="1"/>
  <c r="O410" i="7"/>
  <c r="M72" i="8"/>
  <c r="P72" i="8" s="1"/>
  <c r="L135" i="8"/>
  <c r="O135" i="8" s="1"/>
  <c r="O137" i="8"/>
  <c r="L168" i="8"/>
  <c r="O168" i="8" s="1"/>
  <c r="P173" i="8"/>
  <c r="N263" i="8"/>
  <c r="N261" i="8" s="1"/>
  <c r="I314" i="8"/>
  <c r="K314" i="8" s="1"/>
  <c r="L318" i="8"/>
  <c r="O318" i="8" s="1"/>
  <c r="L408" i="8"/>
  <c r="O408" i="8" s="1"/>
  <c r="L446" i="8"/>
  <c r="O446" i="8" s="1"/>
  <c r="K460" i="8"/>
  <c r="O547" i="8"/>
  <c r="J722" i="8"/>
  <c r="K722" i="8" s="1"/>
  <c r="L788" i="8"/>
  <c r="K821" i="8"/>
  <c r="I233" i="6"/>
  <c r="K233" i="6" s="1"/>
  <c r="N69" i="7"/>
  <c r="L56" i="8"/>
  <c r="O56" i="8" s="1"/>
  <c r="M68" i="8"/>
  <c r="P68" i="8" s="1"/>
  <c r="L94" i="8"/>
  <c r="O94" i="8" s="1"/>
  <c r="M168" i="8"/>
  <c r="P168" i="8" s="1"/>
  <c r="I174" i="8"/>
  <c r="M184" i="8"/>
  <c r="P184" i="8" s="1"/>
  <c r="L300" i="8"/>
  <c r="J327" i="8"/>
  <c r="K327" i="8" s="1"/>
  <c r="L404" i="8"/>
  <c r="O404" i="8" s="1"/>
  <c r="M151" i="7"/>
  <c r="M149" i="7" s="1"/>
  <c r="P149" i="7" s="1"/>
  <c r="M155" i="7"/>
  <c r="P155" i="7" s="1"/>
  <c r="M167" i="7"/>
  <c r="M165" i="7" s="1"/>
  <c r="M330" i="7"/>
  <c r="M328" i="7" s="1"/>
  <c r="O353" i="7"/>
  <c r="K359" i="7"/>
  <c r="L138" i="8"/>
  <c r="O138" i="8" s="1"/>
  <c r="P186" i="8"/>
  <c r="K204" i="8"/>
  <c r="K215" i="8"/>
  <c r="K340" i="8"/>
  <c r="K374" i="8"/>
  <c r="N391" i="8"/>
  <c r="N389" i="8" s="1"/>
  <c r="M404" i="8"/>
  <c r="P404" i="8" s="1"/>
  <c r="L447" i="8"/>
  <c r="O447" i="8" s="1"/>
  <c r="L477" i="8"/>
  <c r="O477" i="8" s="1"/>
  <c r="L525" i="8"/>
  <c r="L523" i="8" s="1"/>
  <c r="O523" i="8" s="1"/>
  <c r="O557" i="8"/>
  <c r="M660" i="8"/>
  <c r="M658" i="8" s="1"/>
  <c r="P658" i="8" s="1"/>
  <c r="K726" i="8"/>
  <c r="P264" i="8"/>
  <c r="M138" i="7"/>
  <c r="P138" i="7" s="1"/>
  <c r="L547" i="7"/>
  <c r="O547" i="7" s="1"/>
  <c r="J721" i="7"/>
  <c r="M69" i="8"/>
  <c r="P69" i="8" s="1"/>
  <c r="K81" i="8"/>
  <c r="O93" i="8"/>
  <c r="L217" i="8"/>
  <c r="O217" i="8" s="1"/>
  <c r="N300" i="8"/>
  <c r="N298" i="8" s="1"/>
  <c r="L321" i="8"/>
  <c r="O321" i="8" s="1"/>
  <c r="M405" i="8"/>
  <c r="P405" i="8" s="1"/>
  <c r="M549" i="8"/>
  <c r="M547" i="8" s="1"/>
  <c r="P547" i="8" s="1"/>
  <c r="I559" i="8"/>
  <c r="I543" i="8" s="1"/>
  <c r="K543" i="8" s="1"/>
  <c r="O658" i="8"/>
  <c r="K720" i="8"/>
  <c r="K825" i="8"/>
  <c r="K381" i="7"/>
  <c r="K197" i="8"/>
  <c r="L304" i="8"/>
  <c r="O304" i="8" s="1"/>
  <c r="L317" i="8"/>
  <c r="I216" i="7"/>
  <c r="K216" i="7" s="1"/>
  <c r="L347" i="7"/>
  <c r="L345" i="7" s="1"/>
  <c r="M12" i="8"/>
  <c r="P15" i="8"/>
  <c r="M19" i="8"/>
  <c r="P22" i="8"/>
  <c r="K143" i="8"/>
  <c r="I131" i="8"/>
  <c r="K131" i="8" s="1"/>
  <c r="P262" i="8"/>
  <c r="P282" i="8"/>
  <c r="M279" i="8"/>
  <c r="P350" i="8"/>
  <c r="M347" i="8"/>
  <c r="O403" i="8"/>
  <c r="O472" i="8"/>
  <c r="L469" i="8"/>
  <c r="O469" i="8" s="1"/>
  <c r="L33" i="8"/>
  <c r="O690" i="8"/>
  <c r="L687" i="8"/>
  <c r="L688" i="8"/>
  <c r="O688" i="8" s="1"/>
  <c r="I785" i="8"/>
  <c r="K785" i="8" s="1"/>
  <c r="K800" i="8"/>
  <c r="I275" i="4"/>
  <c r="N167" i="7"/>
  <c r="N165" i="7" s="1"/>
  <c r="O170" i="7"/>
  <c r="O173" i="7"/>
  <c r="O186" i="7"/>
  <c r="L280" i="7"/>
  <c r="O280" i="7" s="1"/>
  <c r="N347" i="7"/>
  <c r="N345" i="7" s="1"/>
  <c r="O479" i="7"/>
  <c r="N12" i="8"/>
  <c r="N19" i="8"/>
  <c r="L23" i="8"/>
  <c r="L29" i="8"/>
  <c r="P35" i="8"/>
  <c r="M34" i="8"/>
  <c r="P34" i="8" s="1"/>
  <c r="M56" i="8"/>
  <c r="P56" i="8" s="1"/>
  <c r="P58" i="8"/>
  <c r="L68" i="8"/>
  <c r="L90" i="8"/>
  <c r="M94" i="8"/>
  <c r="P94" i="8" s="1"/>
  <c r="K145" i="8"/>
  <c r="N152" i="8"/>
  <c r="M304" i="8"/>
  <c r="P304" i="8" s="1"/>
  <c r="L392" i="8"/>
  <c r="O392" i="8" s="1"/>
  <c r="L391" i="8"/>
  <c r="O391" i="8" s="1"/>
  <c r="O394" i="8"/>
  <c r="L470" i="8"/>
  <c r="O470" i="8" s="1"/>
  <c r="O545" i="8"/>
  <c r="K674" i="8"/>
  <c r="I654" i="8"/>
  <c r="K654" i="8" s="1"/>
  <c r="K673" i="8"/>
  <c r="K669" i="8"/>
  <c r="K675" i="8"/>
  <c r="K672" i="8"/>
  <c r="M690" i="8"/>
  <c r="P787" i="8"/>
  <c r="M786" i="8"/>
  <c r="P786" i="8" s="1"/>
  <c r="N789" i="8"/>
  <c r="K338" i="6"/>
  <c r="P44" i="7"/>
  <c r="O71" i="7"/>
  <c r="N90" i="7"/>
  <c r="N88" i="7" s="1"/>
  <c r="N168" i="7"/>
  <c r="P168" i="7" s="1"/>
  <c r="M264" i="7"/>
  <c r="P264" i="7" s="1"/>
  <c r="I275" i="7"/>
  <c r="K275" i="7" s="1"/>
  <c r="J327" i="7"/>
  <c r="K327" i="7" s="1"/>
  <c r="K379" i="7"/>
  <c r="L395" i="7"/>
  <c r="O395" i="7" s="1"/>
  <c r="N391" i="7"/>
  <c r="N389" i="7" s="1"/>
  <c r="L422" i="7"/>
  <c r="O422" i="7" s="1"/>
  <c r="K651" i="7"/>
  <c r="K824" i="7"/>
  <c r="K827" i="7"/>
  <c r="L15" i="8"/>
  <c r="M23" i="8"/>
  <c r="M21" i="8" s="1"/>
  <c r="M29" i="8"/>
  <c r="L72" i="8"/>
  <c r="O72" i="8" s="1"/>
  <c r="M90" i="8"/>
  <c r="K86" i="8"/>
  <c r="O124" i="8"/>
  <c r="L121" i="8"/>
  <c r="O184" i="8"/>
  <c r="I190" i="8"/>
  <c r="K190" i="8" s="1"/>
  <c r="L228" i="8"/>
  <c r="O266" i="8"/>
  <c r="L263" i="8"/>
  <c r="K288" i="8"/>
  <c r="M300" i="8"/>
  <c r="M298" i="8" s="1"/>
  <c r="M523" i="8"/>
  <c r="P523" i="8" s="1"/>
  <c r="P524" i="8"/>
  <c r="N655" i="8"/>
  <c r="N786" i="8"/>
  <c r="N43" i="7"/>
  <c r="N41" i="7" s="1"/>
  <c r="O89" i="8"/>
  <c r="I112" i="8"/>
  <c r="K112" i="8" s="1"/>
  <c r="L122" i="8"/>
  <c r="O122" i="8" s="1"/>
  <c r="L249" i="8"/>
  <c r="O249" i="8" s="1"/>
  <c r="L264" i="8"/>
  <c r="O264" i="8" s="1"/>
  <c r="P266" i="8"/>
  <c r="M263" i="8"/>
  <c r="P278" i="8"/>
  <c r="K592" i="8"/>
  <c r="K593" i="8"/>
  <c r="J592" i="8"/>
  <c r="N657" i="8"/>
  <c r="O660" i="8"/>
  <c r="N121" i="6"/>
  <c r="N119" i="6" s="1"/>
  <c r="L404" i="6"/>
  <c r="O404" i="6" s="1"/>
  <c r="K647" i="6"/>
  <c r="M121" i="7"/>
  <c r="M134" i="7"/>
  <c r="P134" i="7" s="1"/>
  <c r="N134" i="7"/>
  <c r="N132" i="7" s="1"/>
  <c r="J288" i="7"/>
  <c r="J275" i="7" s="1"/>
  <c r="O350" i="7"/>
  <c r="K362" i="7"/>
  <c r="L469" i="7"/>
  <c r="O469" i="7" s="1"/>
  <c r="N55" i="8"/>
  <c r="K78" i="8"/>
  <c r="L91" i="8"/>
  <c r="O91" i="8" s="1"/>
  <c r="K98" i="8"/>
  <c r="P120" i="8"/>
  <c r="O154" i="8"/>
  <c r="L151" i="8"/>
  <c r="O189" i="8"/>
  <c r="L187" i="8"/>
  <c r="O187" i="8" s="1"/>
  <c r="N331" i="8"/>
  <c r="N330" i="8"/>
  <c r="N328" i="8" s="1"/>
  <c r="L334" i="8"/>
  <c r="O334" i="8" s="1"/>
  <c r="O336" i="8"/>
  <c r="N33" i="8"/>
  <c r="O424" i="8"/>
  <c r="N504" i="8"/>
  <c r="N502" i="8" s="1"/>
  <c r="N505" i="8"/>
  <c r="O549" i="8"/>
  <c r="N546" i="8"/>
  <c r="N544" i="8" s="1"/>
  <c r="K379" i="6"/>
  <c r="P61" i="7"/>
  <c r="L68" i="7"/>
  <c r="O68" i="7" s="1"/>
  <c r="M122" i="7"/>
  <c r="P122" i="7" s="1"/>
  <c r="P127" i="7"/>
  <c r="M135" i="7"/>
  <c r="P135" i="7" s="1"/>
  <c r="L167" i="7"/>
  <c r="L165" i="7" s="1"/>
  <c r="K360" i="7"/>
  <c r="M472" i="7"/>
  <c r="M469" i="7" s="1"/>
  <c r="P469" i="7" s="1"/>
  <c r="K672" i="7"/>
  <c r="K822" i="7"/>
  <c r="L12" i="8"/>
  <c r="L19" i="8"/>
  <c r="L43" i="8"/>
  <c r="O49" i="8"/>
  <c r="L26" i="8"/>
  <c r="N59" i="8"/>
  <c r="M59" i="8"/>
  <c r="P59" i="8" s="1"/>
  <c r="M26" i="8"/>
  <c r="P61" i="8"/>
  <c r="L69" i="8"/>
  <c r="O69" i="8" s="1"/>
  <c r="M91" i="8"/>
  <c r="P91" i="8" s="1"/>
  <c r="L152" i="8"/>
  <c r="O152" i="8" s="1"/>
  <c r="P154" i="8"/>
  <c r="M151" i="8"/>
  <c r="P151" i="8" s="1"/>
  <c r="K159" i="8"/>
  <c r="I248" i="8"/>
  <c r="K248" i="8" s="1"/>
  <c r="K255" i="8"/>
  <c r="O262" i="8"/>
  <c r="L280" i="8"/>
  <c r="O282" i="8"/>
  <c r="O333" i="8"/>
  <c r="P336" i="8"/>
  <c r="M330" i="8"/>
  <c r="L348" i="8"/>
  <c r="L347" i="8"/>
  <c r="O350" i="8"/>
  <c r="O407" i="8"/>
  <c r="L405" i="8"/>
  <c r="O405" i="8" s="1"/>
  <c r="I275" i="8"/>
  <c r="K275" i="8" s="1"/>
  <c r="I297" i="8"/>
  <c r="K297" i="8" s="1"/>
  <c r="O390" i="8"/>
  <c r="N419" i="8"/>
  <c r="L429" i="8"/>
  <c r="O429" i="8" s="1"/>
  <c r="O431" i="8"/>
  <c r="K537" i="8"/>
  <c r="I522" i="8"/>
  <c r="K522" i="8" s="1"/>
  <c r="L230" i="8"/>
  <c r="O303" i="8"/>
  <c r="L395" i="8"/>
  <c r="O395" i="8" s="1"/>
  <c r="O397" i="8"/>
  <c r="L421" i="8"/>
  <c r="L502" i="8"/>
  <c r="O502" i="8" s="1"/>
  <c r="O504" i="8"/>
  <c r="L526" i="8"/>
  <c r="O526" i="8" s="1"/>
  <c r="N525" i="8"/>
  <c r="N523" i="8" s="1"/>
  <c r="N526" i="8"/>
  <c r="P771" i="8"/>
  <c r="M770" i="8"/>
  <c r="P770" i="8" s="1"/>
  <c r="M121" i="8"/>
  <c r="P121" i="8" s="1"/>
  <c r="N134" i="8"/>
  <c r="N132" i="8" s="1"/>
  <c r="J143" i="8"/>
  <c r="J131" i="8" s="1"/>
  <c r="P301" i="8"/>
  <c r="P303" i="8"/>
  <c r="K338" i="8"/>
  <c r="O353" i="8"/>
  <c r="L454" i="8"/>
  <c r="O454" i="8" s="1"/>
  <c r="K462" i="8"/>
  <c r="P656" i="8"/>
  <c r="P755" i="8"/>
  <c r="M754" i="8"/>
  <c r="P754" i="8" s="1"/>
  <c r="N770" i="8"/>
  <c r="J537" i="8"/>
  <c r="J522" i="8" s="1"/>
  <c r="O641" i="8"/>
  <c r="L631" i="8"/>
  <c r="N687" i="8"/>
  <c r="N685" i="8" s="1"/>
  <c r="N688" i="8"/>
  <c r="L639" i="8"/>
  <c r="O639" i="8" s="1"/>
  <c r="K723" i="8"/>
  <c r="I364" i="8"/>
  <c r="K365" i="8"/>
  <c r="K435" i="8"/>
  <c r="J433" i="8"/>
  <c r="J417" i="8" s="1"/>
  <c r="K417" i="8" s="1"/>
  <c r="P333" i="8"/>
  <c r="P353" i="8"/>
  <c r="O449" i="8"/>
  <c r="K594" i="8"/>
  <c r="L546" i="8"/>
  <c r="L544" i="8" s="1"/>
  <c r="M134" i="5"/>
  <c r="M132" i="5" s="1"/>
  <c r="P132" i="5" s="1"/>
  <c r="N43" i="6"/>
  <c r="N41" i="6" s="1"/>
  <c r="I276" i="6"/>
  <c r="K276" i="6" s="1"/>
  <c r="M318" i="6"/>
  <c r="P318" i="6" s="1"/>
  <c r="M348" i="7"/>
  <c r="P348" i="7" s="1"/>
  <c r="P350" i="7"/>
  <c r="M347" i="7"/>
  <c r="L56" i="7"/>
  <c r="O56" i="7" s="1"/>
  <c r="O58" i="7"/>
  <c r="L55" i="7"/>
  <c r="L53" i="7" s="1"/>
  <c r="L91" i="7"/>
  <c r="O91" i="7" s="1"/>
  <c r="L90" i="7"/>
  <c r="L88" i="7" s="1"/>
  <c r="L138" i="7"/>
  <c r="O138" i="7" s="1"/>
  <c r="O140" i="7"/>
  <c r="L454" i="6"/>
  <c r="O454" i="6" s="1"/>
  <c r="N135" i="7"/>
  <c r="K159" i="7"/>
  <c r="I148" i="7"/>
  <c r="K148" i="7" s="1"/>
  <c r="L263" i="7"/>
  <c r="L261" i="7" s="1"/>
  <c r="L405" i="7"/>
  <c r="O405" i="7" s="1"/>
  <c r="O407" i="7"/>
  <c r="L404" i="7"/>
  <c r="O404" i="7" s="1"/>
  <c r="M90" i="5"/>
  <c r="M88" i="5" s="1"/>
  <c r="N122" i="5"/>
  <c r="K372" i="5"/>
  <c r="L429" i="6"/>
  <c r="O429" i="6" s="1"/>
  <c r="P74" i="7"/>
  <c r="M72" i="7"/>
  <c r="P72" i="7" s="1"/>
  <c r="N300" i="7"/>
  <c r="N298" i="7" s="1"/>
  <c r="P323" i="7"/>
  <c r="M321" i="7"/>
  <c r="P321" i="7" s="1"/>
  <c r="M404" i="6"/>
  <c r="P404" i="6" s="1"/>
  <c r="M408" i="6"/>
  <c r="P408" i="6" s="1"/>
  <c r="K115" i="7"/>
  <c r="I112" i="7"/>
  <c r="K112" i="7" s="1"/>
  <c r="L331" i="7"/>
  <c r="O331" i="7" s="1"/>
  <c r="L330" i="7"/>
  <c r="K720" i="6"/>
  <c r="M55" i="7"/>
  <c r="O59" i="7"/>
  <c r="P91" i="7"/>
  <c r="L238" i="7"/>
  <c r="O238" i="7" s="1"/>
  <c r="M318" i="7"/>
  <c r="P318" i="7" s="1"/>
  <c r="L321" i="7"/>
  <c r="O321" i="7" s="1"/>
  <c r="N330" i="7"/>
  <c r="N328" i="7" s="1"/>
  <c r="P333" i="7"/>
  <c r="P351" i="7"/>
  <c r="L36" i="7"/>
  <c r="L34" i="7" s="1"/>
  <c r="O34" i="7" s="1"/>
  <c r="L546" i="7"/>
  <c r="O546" i="7" s="1"/>
  <c r="I628" i="7"/>
  <c r="K628" i="7" s="1"/>
  <c r="N263" i="7"/>
  <c r="P331" i="7"/>
  <c r="N47" i="7"/>
  <c r="N55" i="7"/>
  <c r="N53" i="7" s="1"/>
  <c r="M68" i="7"/>
  <c r="P68" i="7" s="1"/>
  <c r="N121" i="7"/>
  <c r="N119" i="7" s="1"/>
  <c r="N151" i="7"/>
  <c r="N149" i="7" s="1"/>
  <c r="K215" i="7"/>
  <c r="L279" i="7"/>
  <c r="O279" i="7" s="1"/>
  <c r="I297" i="7"/>
  <c r="K297" i="7" s="1"/>
  <c r="M334" i="7"/>
  <c r="P334" i="7" s="1"/>
  <c r="K374" i="7"/>
  <c r="M392" i="7"/>
  <c r="P392" i="7" s="1"/>
  <c r="L446" i="7"/>
  <c r="L444" i="7" s="1"/>
  <c r="O444" i="7" s="1"/>
  <c r="L555" i="7"/>
  <c r="O555" i="7" s="1"/>
  <c r="J722" i="7"/>
  <c r="K828" i="7"/>
  <c r="M59" i="7"/>
  <c r="P59" i="7" s="1"/>
  <c r="M152" i="7"/>
  <c r="P152" i="7" s="1"/>
  <c r="P170" i="7"/>
  <c r="L217" i="7"/>
  <c r="O217" i="7" s="1"/>
  <c r="L657" i="7"/>
  <c r="J143" i="7"/>
  <c r="J131" i="7" s="1"/>
  <c r="P173" i="7"/>
  <c r="I190" i="7"/>
  <c r="K190" i="7" s="1"/>
  <c r="L209" i="7"/>
  <c r="O209" i="7" s="1"/>
  <c r="L249" i="7"/>
  <c r="O249" i="7" s="1"/>
  <c r="M283" i="7"/>
  <c r="P283" i="7" s="1"/>
  <c r="L317" i="7"/>
  <c r="O317" i="7" s="1"/>
  <c r="M395" i="7"/>
  <c r="P395" i="7" s="1"/>
  <c r="K821" i="7"/>
  <c r="N330" i="5"/>
  <c r="N328" i="5" s="1"/>
  <c r="L263" i="6"/>
  <c r="L261" i="6" s="1"/>
  <c r="L279" i="6"/>
  <c r="L330" i="6"/>
  <c r="L477" i="6"/>
  <c r="O477" i="6" s="1"/>
  <c r="K701" i="6"/>
  <c r="O49" i="7"/>
  <c r="M56" i="7"/>
  <c r="P56" i="7" s="1"/>
  <c r="I86" i="7"/>
  <c r="K86" i="7" s="1"/>
  <c r="I143" i="7"/>
  <c r="K145" i="7"/>
  <c r="N184" i="7"/>
  <c r="O184" i="7" s="1"/>
  <c r="P186" i="7"/>
  <c r="L229" i="7"/>
  <c r="N267" i="7"/>
  <c r="P269" i="7"/>
  <c r="M279" i="7"/>
  <c r="P279" i="7" s="1"/>
  <c r="N317" i="7"/>
  <c r="N315" i="7" s="1"/>
  <c r="L351" i="7"/>
  <c r="O351" i="7" s="1"/>
  <c r="O431" i="7"/>
  <c r="K647" i="7"/>
  <c r="K224" i="6"/>
  <c r="L280" i="6"/>
  <c r="O280" i="6" s="1"/>
  <c r="L283" i="6"/>
  <c r="O283" i="6" s="1"/>
  <c r="P285" i="6"/>
  <c r="N26" i="7"/>
  <c r="N24" i="7" s="1"/>
  <c r="L33" i="7"/>
  <c r="L31" i="7" s="1"/>
  <c r="O31" i="7" s="1"/>
  <c r="M43" i="7"/>
  <c r="O46" i="7"/>
  <c r="O189" i="7"/>
  <c r="I248" i="7"/>
  <c r="K248" i="7" s="1"/>
  <c r="K340" i="7"/>
  <c r="L391" i="7"/>
  <c r="N404" i="7"/>
  <c r="N402" i="7" s="1"/>
  <c r="L525" i="7"/>
  <c r="K673" i="7"/>
  <c r="L688" i="7"/>
  <c r="O688" i="7" s="1"/>
  <c r="O690" i="7"/>
  <c r="K725" i="6"/>
  <c r="N23" i="7"/>
  <c r="N21" i="7" s="1"/>
  <c r="P58" i="7"/>
  <c r="O124" i="7"/>
  <c r="L134" i="7"/>
  <c r="O134" i="7" s="1"/>
  <c r="O137" i="7"/>
  <c r="L183" i="7"/>
  <c r="L181" i="7" s="1"/>
  <c r="P189" i="7"/>
  <c r="L198" i="7"/>
  <c r="O198" i="7" s="1"/>
  <c r="M280" i="7"/>
  <c r="P280" i="7" s="1"/>
  <c r="L318" i="7"/>
  <c r="O318" i="7" s="1"/>
  <c r="O333" i="7"/>
  <c r="O336" i="7"/>
  <c r="K385" i="7"/>
  <c r="M391" i="7"/>
  <c r="L421" i="7"/>
  <c r="K674" i="7"/>
  <c r="L168" i="5"/>
  <c r="O168" i="5" s="1"/>
  <c r="N68" i="6"/>
  <c r="N66" i="6" s="1"/>
  <c r="L94" i="6"/>
  <c r="O94" i="6" s="1"/>
  <c r="L121" i="6"/>
  <c r="O121" i="6" s="1"/>
  <c r="O93" i="7"/>
  <c r="L121" i="7"/>
  <c r="L119" i="7" s="1"/>
  <c r="O119" i="7" s="1"/>
  <c r="M183" i="7"/>
  <c r="P353" i="7"/>
  <c r="K669" i="7"/>
  <c r="M405" i="5"/>
  <c r="P405" i="5" s="1"/>
  <c r="M94" i="6"/>
  <c r="P94" i="6" s="1"/>
  <c r="L525" i="6"/>
  <c r="O525" i="6" s="1"/>
  <c r="O96" i="7"/>
  <c r="K99" i="7"/>
  <c r="N183" i="7"/>
  <c r="I276" i="7"/>
  <c r="K276" i="7" s="1"/>
  <c r="K338" i="7"/>
  <c r="L348" i="7"/>
  <c r="O348" i="7" s="1"/>
  <c r="O424" i="7"/>
  <c r="K823" i="7"/>
  <c r="P19" i="7"/>
  <c r="P15" i="7"/>
  <c r="O168" i="6"/>
  <c r="L152" i="7"/>
  <c r="O152" i="7" s="1"/>
  <c r="O154" i="7"/>
  <c r="M167" i="4"/>
  <c r="M165" i="4" s="1"/>
  <c r="M69" i="5"/>
  <c r="P69" i="5" s="1"/>
  <c r="L72" i="5"/>
  <c r="O72" i="5" s="1"/>
  <c r="L171" i="5"/>
  <c r="O171" i="5" s="1"/>
  <c r="P61" i="6"/>
  <c r="N69" i="6"/>
  <c r="P69" i="6" s="1"/>
  <c r="P71" i="6"/>
  <c r="O186" i="6"/>
  <c r="L264" i="6"/>
  <c r="O264" i="6" s="1"/>
  <c r="L267" i="6"/>
  <c r="O267" i="6" s="1"/>
  <c r="M300" i="6"/>
  <c r="M298" i="6" s="1"/>
  <c r="M304" i="6"/>
  <c r="P304" i="6" s="1"/>
  <c r="K355" i="6"/>
  <c r="K369" i="6"/>
  <c r="K372" i="6"/>
  <c r="K576" i="6"/>
  <c r="K708" i="6"/>
  <c r="J722" i="6"/>
  <c r="K722" i="6" s="1"/>
  <c r="L43" i="7"/>
  <c r="P96" i="7"/>
  <c r="L155" i="7"/>
  <c r="O155" i="7" s="1"/>
  <c r="O157" i="7"/>
  <c r="L228" i="7"/>
  <c r="P46" i="5"/>
  <c r="M72" i="5"/>
  <c r="P72" i="5" s="1"/>
  <c r="M187" i="5"/>
  <c r="P187" i="5" s="1"/>
  <c r="O336" i="5"/>
  <c r="L171" i="6"/>
  <c r="O171" i="6" s="1"/>
  <c r="O184" i="6"/>
  <c r="M183" i="6"/>
  <c r="M181" i="6" s="1"/>
  <c r="L318" i="6"/>
  <c r="O318" i="6" s="1"/>
  <c r="P331" i="6"/>
  <c r="K385" i="6"/>
  <c r="K823" i="6"/>
  <c r="K826" i="6"/>
  <c r="P32" i="7"/>
  <c r="M26" i="7"/>
  <c r="M90" i="7"/>
  <c r="O266" i="7"/>
  <c r="L264" i="7"/>
  <c r="O264" i="7" s="1"/>
  <c r="M405" i="7"/>
  <c r="P405" i="7" s="1"/>
  <c r="P407" i="7"/>
  <c r="M404" i="7"/>
  <c r="P404" i="7" s="1"/>
  <c r="L408" i="5"/>
  <c r="O408" i="5" s="1"/>
  <c r="O46" i="6"/>
  <c r="M12" i="7"/>
  <c r="M29" i="7"/>
  <c r="O61" i="7"/>
  <c r="O74" i="7"/>
  <c r="I76" i="7"/>
  <c r="K80" i="7"/>
  <c r="O127" i="7"/>
  <c r="J364" i="7"/>
  <c r="K365" i="7"/>
  <c r="M55" i="5"/>
  <c r="M53" i="5" s="1"/>
  <c r="P46" i="6"/>
  <c r="L134" i="6"/>
  <c r="O134" i="6" s="1"/>
  <c r="K649" i="6"/>
  <c r="K699" i="6"/>
  <c r="K824" i="6"/>
  <c r="N19" i="7"/>
  <c r="N12" i="7"/>
  <c r="L26" i="7"/>
  <c r="N28" i="7"/>
  <c r="N34" i="7"/>
  <c r="L44" i="7"/>
  <c r="O44" i="7" s="1"/>
  <c r="L23" i="7"/>
  <c r="L217" i="6"/>
  <c r="O217" i="6" s="1"/>
  <c r="K359" i="6"/>
  <c r="K362" i="6"/>
  <c r="M23" i="7"/>
  <c r="P93" i="7"/>
  <c r="L151" i="7"/>
  <c r="M301" i="7"/>
  <c r="P301" i="7" s="1"/>
  <c r="P303" i="7"/>
  <c r="M304" i="7"/>
  <c r="P304" i="7" s="1"/>
  <c r="P306" i="7"/>
  <c r="O42" i="7"/>
  <c r="P46" i="7"/>
  <c r="P49" i="7"/>
  <c r="O67" i="7"/>
  <c r="P89" i="7"/>
  <c r="O133" i="7"/>
  <c r="P166" i="7"/>
  <c r="I174" i="7"/>
  <c r="P182" i="7"/>
  <c r="M263" i="7"/>
  <c r="N279" i="7"/>
  <c r="N277" i="7" s="1"/>
  <c r="O403" i="7"/>
  <c r="M408" i="7"/>
  <c r="P408" i="7" s="1"/>
  <c r="P410" i="7"/>
  <c r="K435" i="7"/>
  <c r="J433" i="7"/>
  <c r="J417" i="7" s="1"/>
  <c r="O468" i="7"/>
  <c r="O755" i="7"/>
  <c r="L754" i="7"/>
  <c r="O754" i="7" s="1"/>
  <c r="L15" i="7"/>
  <c r="L29" i="7"/>
  <c r="I233" i="7"/>
  <c r="K233" i="7" s="1"/>
  <c r="O299" i="7"/>
  <c r="I314" i="7"/>
  <c r="K314" i="7" s="1"/>
  <c r="P524" i="7"/>
  <c r="M523" i="7"/>
  <c r="P523" i="7" s="1"/>
  <c r="P278" i="7"/>
  <c r="N504" i="7"/>
  <c r="N502" i="7" s="1"/>
  <c r="N505" i="7"/>
  <c r="K559" i="7"/>
  <c r="I543" i="7"/>
  <c r="K543" i="7" s="1"/>
  <c r="N807" i="7"/>
  <c r="N805" i="7" s="1"/>
  <c r="N808" i="7"/>
  <c r="K146" i="7"/>
  <c r="I197" i="7"/>
  <c r="K197" i="7" s="1"/>
  <c r="L267" i="7"/>
  <c r="O267" i="7" s="1"/>
  <c r="P445" i="7"/>
  <c r="M444" i="7"/>
  <c r="P444" i="7" s="1"/>
  <c r="L632" i="7"/>
  <c r="O632" i="7" s="1"/>
  <c r="O634" i="7"/>
  <c r="M634" i="7"/>
  <c r="L639" i="7"/>
  <c r="O639" i="7" s="1"/>
  <c r="O641" i="7"/>
  <c r="O738" i="7"/>
  <c r="L737" i="7"/>
  <c r="O737" i="7" s="1"/>
  <c r="O771" i="7"/>
  <c r="L770" i="7"/>
  <c r="O770" i="7" s="1"/>
  <c r="L789" i="7"/>
  <c r="O789" i="7" s="1"/>
  <c r="O791" i="7"/>
  <c r="I77" i="7"/>
  <c r="I237" i="7"/>
  <c r="M421" i="7"/>
  <c r="M422" i="7"/>
  <c r="P422" i="7" s="1"/>
  <c r="P424" i="7"/>
  <c r="I417" i="7"/>
  <c r="N444" i="7"/>
  <c r="N414" i="7" s="1"/>
  <c r="I522" i="7"/>
  <c r="K522" i="7" s="1"/>
  <c r="K537" i="7"/>
  <c r="J537" i="7"/>
  <c r="J522" i="7" s="1"/>
  <c r="O303" i="7"/>
  <c r="O306" i="7"/>
  <c r="L502" i="7"/>
  <c r="O502" i="7" s="1"/>
  <c r="L629" i="7"/>
  <c r="O629" i="7" s="1"/>
  <c r="L685" i="7"/>
  <c r="O685" i="7" s="1"/>
  <c r="M737" i="7"/>
  <c r="P737" i="7" s="1"/>
  <c r="M754" i="7"/>
  <c r="P754" i="7" s="1"/>
  <c r="M770" i="7"/>
  <c r="P770" i="7" s="1"/>
  <c r="L786" i="7"/>
  <c r="O786" i="7" s="1"/>
  <c r="L805" i="7"/>
  <c r="O805" i="7" s="1"/>
  <c r="J355" i="7"/>
  <c r="K355" i="7" s="1"/>
  <c r="I434" i="7"/>
  <c r="M502" i="7"/>
  <c r="P502" i="7" s="1"/>
  <c r="M549" i="7"/>
  <c r="K593" i="7"/>
  <c r="M685" i="7"/>
  <c r="P685" i="7" s="1"/>
  <c r="M786" i="7"/>
  <c r="P786" i="7" s="1"/>
  <c r="K800" i="7"/>
  <c r="M805" i="7"/>
  <c r="P805" i="7" s="1"/>
  <c r="M545" i="7"/>
  <c r="K576" i="7"/>
  <c r="O152" i="6"/>
  <c r="P320" i="6"/>
  <c r="I522" i="6"/>
  <c r="K522" i="6" s="1"/>
  <c r="L151" i="4"/>
  <c r="L149" i="4" s="1"/>
  <c r="M391" i="4"/>
  <c r="P391" i="4" s="1"/>
  <c r="M43" i="6"/>
  <c r="M41" i="6" s="1"/>
  <c r="I260" i="6"/>
  <c r="K260" i="6" s="1"/>
  <c r="P303" i="6"/>
  <c r="L321" i="6"/>
  <c r="O321" i="6" s="1"/>
  <c r="I433" i="6"/>
  <c r="I417" i="6" s="1"/>
  <c r="L533" i="6"/>
  <c r="O533" i="6" s="1"/>
  <c r="O535" i="6"/>
  <c r="L56" i="6"/>
  <c r="M47" i="5"/>
  <c r="P47" i="5" s="1"/>
  <c r="K821" i="5"/>
  <c r="K824" i="5"/>
  <c r="K827" i="5"/>
  <c r="I112" i="6"/>
  <c r="K112" i="6" s="1"/>
  <c r="N151" i="6"/>
  <c r="N149" i="6" s="1"/>
  <c r="N300" i="6"/>
  <c r="K370" i="6"/>
  <c r="L546" i="6"/>
  <c r="L544" i="6" s="1"/>
  <c r="O549" i="6"/>
  <c r="L90" i="5"/>
  <c r="L88" i="5" s="1"/>
  <c r="I174" i="5"/>
  <c r="K174" i="5" s="1"/>
  <c r="N134" i="6"/>
  <c r="N132" i="6" s="1"/>
  <c r="O170" i="6"/>
  <c r="K193" i="6"/>
  <c r="K255" i="6"/>
  <c r="N404" i="6"/>
  <c r="N402" i="6" s="1"/>
  <c r="L228" i="4"/>
  <c r="M138" i="5"/>
  <c r="P138" i="5" s="1"/>
  <c r="J143" i="5"/>
  <c r="J131" i="5" s="1"/>
  <c r="K462" i="5"/>
  <c r="K466" i="5"/>
  <c r="O58" i="6"/>
  <c r="P93" i="6"/>
  <c r="M187" i="6"/>
  <c r="P187" i="6" s="1"/>
  <c r="L317" i="6"/>
  <c r="N280" i="6"/>
  <c r="N279" i="6"/>
  <c r="N277" i="6" s="1"/>
  <c r="K460" i="6"/>
  <c r="I442" i="6"/>
  <c r="K442" i="6" s="1"/>
  <c r="L639" i="6"/>
  <c r="O639" i="6" s="1"/>
  <c r="O641" i="6"/>
  <c r="M91" i="5"/>
  <c r="M94" i="5"/>
  <c r="P94" i="5" s="1"/>
  <c r="K144" i="5"/>
  <c r="L688" i="5"/>
  <c r="O688" i="5" s="1"/>
  <c r="J721" i="5"/>
  <c r="L44" i="6"/>
  <c r="O44" i="6" s="1"/>
  <c r="M72" i="6"/>
  <c r="P72" i="6" s="1"/>
  <c r="O124" i="6"/>
  <c r="I130" i="6"/>
  <c r="K130" i="6" s="1"/>
  <c r="K146" i="6"/>
  <c r="M171" i="6"/>
  <c r="P171" i="6" s="1"/>
  <c r="O303" i="6"/>
  <c r="L301" i="6"/>
  <c r="O301" i="6" s="1"/>
  <c r="K325" i="6"/>
  <c r="I314" i="6"/>
  <c r="K314" i="6" s="1"/>
  <c r="L395" i="6"/>
  <c r="O395" i="6" s="1"/>
  <c r="L391" i="6"/>
  <c r="I443" i="6"/>
  <c r="K443" i="6" s="1"/>
  <c r="K462" i="6"/>
  <c r="L229" i="3"/>
  <c r="L300" i="4"/>
  <c r="L298" i="4" s="1"/>
  <c r="I87" i="5"/>
  <c r="K87" i="5" s="1"/>
  <c r="O269" i="5"/>
  <c r="M44" i="6"/>
  <c r="P44" i="6" s="1"/>
  <c r="N55" i="6"/>
  <c r="M68" i="6"/>
  <c r="M91" i="6"/>
  <c r="N90" i="6"/>
  <c r="N88" i="6" s="1"/>
  <c r="L135" i="6"/>
  <c r="O135" i="6" s="1"/>
  <c r="O154" i="6"/>
  <c r="M167" i="6"/>
  <c r="M165" i="6" s="1"/>
  <c r="L198" i="6"/>
  <c r="O198" i="6" s="1"/>
  <c r="K215" i="6"/>
  <c r="O424" i="6"/>
  <c r="M424" i="6"/>
  <c r="M421" i="6" s="1"/>
  <c r="P421" i="6" s="1"/>
  <c r="L422" i="6"/>
  <c r="O422" i="6" s="1"/>
  <c r="O93" i="4"/>
  <c r="I76" i="5"/>
  <c r="I64" i="5" s="1"/>
  <c r="K64" i="5" s="1"/>
  <c r="L187" i="5"/>
  <c r="O187" i="5" s="1"/>
  <c r="K338" i="5"/>
  <c r="K370" i="5"/>
  <c r="L36" i="6"/>
  <c r="L47" i="6"/>
  <c r="O47" i="6" s="1"/>
  <c r="N91" i="6"/>
  <c r="L138" i="6"/>
  <c r="O138" i="6" s="1"/>
  <c r="L151" i="6"/>
  <c r="L149" i="6" s="1"/>
  <c r="P152" i="6"/>
  <c r="K159" i="6"/>
  <c r="I148" i="6"/>
  <c r="K148" i="6" s="1"/>
  <c r="L421" i="6"/>
  <c r="L419" i="6" s="1"/>
  <c r="O419" i="6" s="1"/>
  <c r="K593" i="6"/>
  <c r="I592" i="6"/>
  <c r="K592" i="6" s="1"/>
  <c r="J721" i="6"/>
  <c r="K721" i="6" s="1"/>
  <c r="P91" i="4"/>
  <c r="L279" i="5"/>
  <c r="L277" i="5" s="1"/>
  <c r="O353" i="5"/>
  <c r="N23" i="6"/>
  <c r="N21" i="6" s="1"/>
  <c r="P336" i="6"/>
  <c r="M334" i="6"/>
  <c r="P334" i="6" s="1"/>
  <c r="K674" i="6"/>
  <c r="K673" i="6"/>
  <c r="K378" i="4"/>
  <c r="K381" i="4"/>
  <c r="I522" i="4"/>
  <c r="K522" i="4" s="1"/>
  <c r="N56" i="6"/>
  <c r="J143" i="6"/>
  <c r="J131" i="6" s="1"/>
  <c r="I143" i="6"/>
  <c r="K143" i="6" s="1"/>
  <c r="P282" i="6"/>
  <c r="M279" i="6"/>
  <c r="P279" i="6" s="1"/>
  <c r="P333" i="6"/>
  <c r="K437" i="6"/>
  <c r="J433" i="6"/>
  <c r="O634" i="6"/>
  <c r="L632" i="6"/>
  <c r="L631" i="6"/>
  <c r="L629" i="6" s="1"/>
  <c r="N330" i="6"/>
  <c r="N328" i="6" s="1"/>
  <c r="N391" i="6"/>
  <c r="N389" i="6" s="1"/>
  <c r="I434" i="6"/>
  <c r="L788" i="6"/>
  <c r="O791" i="6"/>
  <c r="N263" i="6"/>
  <c r="N334" i="6"/>
  <c r="K438" i="6"/>
  <c r="L687" i="6"/>
  <c r="L209" i="6"/>
  <c r="O209" i="6" s="1"/>
  <c r="K381" i="6"/>
  <c r="M405" i="6"/>
  <c r="P405" i="6" s="1"/>
  <c r="L408" i="6"/>
  <c r="O408" i="6" s="1"/>
  <c r="N167" i="6"/>
  <c r="N165" i="6" s="1"/>
  <c r="N183" i="6"/>
  <c r="L229" i="6"/>
  <c r="P264" i="6"/>
  <c r="O266" i="6"/>
  <c r="K340" i="6"/>
  <c r="K374" i="6"/>
  <c r="K669" i="6"/>
  <c r="K822" i="6"/>
  <c r="K828" i="6"/>
  <c r="K700" i="6"/>
  <c r="P15" i="6"/>
  <c r="N31" i="6"/>
  <c r="N30" i="6"/>
  <c r="N28" i="6" s="1"/>
  <c r="O71" i="6"/>
  <c r="L69" i="6"/>
  <c r="L23" i="6"/>
  <c r="P301" i="6"/>
  <c r="N321" i="6"/>
  <c r="N317" i="6"/>
  <c r="N315" i="6" s="1"/>
  <c r="L546" i="4"/>
  <c r="O546" i="4" s="1"/>
  <c r="M121" i="5"/>
  <c r="P121" i="5" s="1"/>
  <c r="L321" i="5"/>
  <c r="O321" i="5" s="1"/>
  <c r="N317" i="5"/>
  <c r="N315" i="5" s="1"/>
  <c r="L351" i="5"/>
  <c r="O351" i="5" s="1"/>
  <c r="M408" i="5"/>
  <c r="P408" i="5" s="1"/>
  <c r="L429" i="5"/>
  <c r="O429" i="5" s="1"/>
  <c r="L631" i="5"/>
  <c r="L629" i="5" s="1"/>
  <c r="O22" i="6"/>
  <c r="L19" i="6"/>
  <c r="L12" i="6"/>
  <c r="O42" i="6"/>
  <c r="P89" i="6"/>
  <c r="P140" i="6"/>
  <c r="M138" i="6"/>
  <c r="P138" i="6" s="1"/>
  <c r="L183" i="6"/>
  <c r="O472" i="6"/>
  <c r="M472" i="6"/>
  <c r="L470" i="6"/>
  <c r="O470" i="6" s="1"/>
  <c r="L33" i="6"/>
  <c r="P525" i="6"/>
  <c r="M523" i="6"/>
  <c r="P523" i="6" s="1"/>
  <c r="P137" i="6"/>
  <c r="M135" i="6"/>
  <c r="P135" i="6" s="1"/>
  <c r="L187" i="6"/>
  <c r="O187" i="6" s="1"/>
  <c r="M546" i="6"/>
  <c r="P546" i="6" s="1"/>
  <c r="M547" i="6"/>
  <c r="P547" i="6" s="1"/>
  <c r="P549" i="6"/>
  <c r="K708" i="3"/>
  <c r="K729" i="3"/>
  <c r="L230" i="4"/>
  <c r="N391" i="4"/>
  <c r="N389" i="4" s="1"/>
  <c r="N55" i="5"/>
  <c r="N53" i="5" s="1"/>
  <c r="O124" i="5"/>
  <c r="K145" i="5"/>
  <c r="L334" i="5"/>
  <c r="O334" i="5" s="1"/>
  <c r="M404" i="5"/>
  <c r="K800" i="5"/>
  <c r="L15" i="6"/>
  <c r="P25" i="6"/>
  <c r="M29" i="6"/>
  <c r="M34" i="6"/>
  <c r="P34" i="6" s="1"/>
  <c r="O74" i="6"/>
  <c r="L72" i="6"/>
  <c r="O72" i="6" s="1"/>
  <c r="L26" i="6"/>
  <c r="I86" i="6"/>
  <c r="K86" i="6" s="1"/>
  <c r="M125" i="6"/>
  <c r="P125" i="6" s="1"/>
  <c r="M121" i="6"/>
  <c r="O133" i="6"/>
  <c r="L167" i="6"/>
  <c r="P346" i="6"/>
  <c r="L469" i="6"/>
  <c r="M56" i="6"/>
  <c r="M55" i="6"/>
  <c r="P166" i="6"/>
  <c r="I197" i="6"/>
  <c r="K197" i="6" s="1"/>
  <c r="K204" i="6"/>
  <c r="L231" i="6"/>
  <c r="L238" i="6"/>
  <c r="O806" i="6"/>
  <c r="L805" i="6"/>
  <c r="O805" i="6" s="1"/>
  <c r="P58" i="3"/>
  <c r="N43" i="5"/>
  <c r="N41" i="5" s="1"/>
  <c r="M68" i="5"/>
  <c r="M66" i="5" s="1"/>
  <c r="P66" i="5" s="1"/>
  <c r="N68" i="5"/>
  <c r="N66" i="5" s="1"/>
  <c r="O280" i="5"/>
  <c r="P12" i="6"/>
  <c r="N26" i="6"/>
  <c r="M26" i="6"/>
  <c r="M24" i="6" s="1"/>
  <c r="P49" i="6"/>
  <c r="P58" i="6"/>
  <c r="K78" i="6"/>
  <c r="I76" i="6"/>
  <c r="M90" i="6"/>
  <c r="O93" i="6"/>
  <c r="L90" i="6"/>
  <c r="P350" i="6"/>
  <c r="M347" i="6"/>
  <c r="L351" i="6"/>
  <c r="O351" i="6" s="1"/>
  <c r="O353" i="6"/>
  <c r="L347" i="6"/>
  <c r="P420" i="6"/>
  <c r="M122" i="5"/>
  <c r="P122" i="5" s="1"/>
  <c r="O54" i="6"/>
  <c r="L91" i="5"/>
  <c r="P93" i="5"/>
  <c r="I260" i="5"/>
  <c r="K260" i="5" s="1"/>
  <c r="O320" i="5"/>
  <c r="K381" i="5"/>
  <c r="M9" i="6"/>
  <c r="M47" i="6"/>
  <c r="P47" i="6" s="1"/>
  <c r="O61" i="6"/>
  <c r="N59" i="6"/>
  <c r="O59" i="6" s="1"/>
  <c r="L68" i="6"/>
  <c r="K79" i="6"/>
  <c r="I77" i="6"/>
  <c r="L91" i="6"/>
  <c r="M155" i="6"/>
  <c r="P155" i="6" s="1"/>
  <c r="M151" i="6"/>
  <c r="I174" i="6"/>
  <c r="M267" i="6"/>
  <c r="P267" i="6" s="1"/>
  <c r="M263" i="6"/>
  <c r="M261" i="6" s="1"/>
  <c r="I297" i="6"/>
  <c r="K297" i="6" s="1"/>
  <c r="K309" i="6"/>
  <c r="M348" i="6"/>
  <c r="P348" i="6" s="1"/>
  <c r="N167" i="5"/>
  <c r="N165" i="5" s="1"/>
  <c r="M23" i="6"/>
  <c r="M134" i="6"/>
  <c r="P182" i="6"/>
  <c r="N446" i="6"/>
  <c r="N447" i="6"/>
  <c r="P154" i="6"/>
  <c r="K244" i="6"/>
  <c r="I237" i="6"/>
  <c r="P266" i="6"/>
  <c r="K378" i="6"/>
  <c r="P390" i="6"/>
  <c r="K594" i="6"/>
  <c r="K651" i="6"/>
  <c r="I628" i="6"/>
  <c r="K628" i="6" s="1"/>
  <c r="O656" i="6"/>
  <c r="P771" i="6"/>
  <c r="M770" i="6"/>
  <c r="P770" i="6" s="1"/>
  <c r="J327" i="6"/>
  <c r="K327" i="6" s="1"/>
  <c r="K360" i="6"/>
  <c r="O407" i="6"/>
  <c r="L405" i="6"/>
  <c r="O405" i="6" s="1"/>
  <c r="J537" i="6"/>
  <c r="J522" i="6" s="1"/>
  <c r="K539" i="6"/>
  <c r="L43" i="6"/>
  <c r="O67" i="6"/>
  <c r="I87" i="6"/>
  <c r="K87" i="6" s="1"/>
  <c r="P124" i="6"/>
  <c r="P168" i="6"/>
  <c r="P170" i="6"/>
  <c r="P184" i="6"/>
  <c r="P186" i="6"/>
  <c r="L228" i="6"/>
  <c r="L249" i="6"/>
  <c r="O249" i="6" s="1"/>
  <c r="M330" i="6"/>
  <c r="N347" i="6"/>
  <c r="N345" i="6" s="1"/>
  <c r="P353" i="6"/>
  <c r="P446" i="6"/>
  <c r="M444" i="6"/>
  <c r="P444" i="6" s="1"/>
  <c r="L526" i="6"/>
  <c r="O526" i="6" s="1"/>
  <c r="O528" i="6"/>
  <c r="P545" i="6"/>
  <c r="L658" i="6"/>
  <c r="O658" i="6" s="1"/>
  <c r="O660" i="6"/>
  <c r="M660" i="6"/>
  <c r="L657" i="6"/>
  <c r="O657" i="6" s="1"/>
  <c r="P787" i="6"/>
  <c r="M786" i="6"/>
  <c r="P786" i="6" s="1"/>
  <c r="O306" i="6"/>
  <c r="L300" i="6"/>
  <c r="L304" i="6"/>
  <c r="O304" i="6" s="1"/>
  <c r="L331" i="6"/>
  <c r="O331" i="6" s="1"/>
  <c r="O333" i="6"/>
  <c r="O346" i="6"/>
  <c r="P351" i="6"/>
  <c r="O445" i="6"/>
  <c r="N525" i="6"/>
  <c r="N523" i="6" s="1"/>
  <c r="N526" i="6"/>
  <c r="I785" i="6"/>
  <c r="K785" i="6" s="1"/>
  <c r="K800" i="6"/>
  <c r="M392" i="6"/>
  <c r="P392" i="6" s="1"/>
  <c r="P394" i="6"/>
  <c r="O524" i="6"/>
  <c r="N544" i="6"/>
  <c r="N770" i="6"/>
  <c r="P806" i="6"/>
  <c r="M805" i="6"/>
  <c r="P805" i="6" s="1"/>
  <c r="P329" i="6"/>
  <c r="L334" i="6"/>
  <c r="O334" i="6" s="1"/>
  <c r="O336" i="6"/>
  <c r="L348" i="6"/>
  <c r="O348" i="6" s="1"/>
  <c r="O350" i="6"/>
  <c r="I364" i="6"/>
  <c r="K365" i="6"/>
  <c r="M395" i="6"/>
  <c r="P395" i="6" s="1"/>
  <c r="P397" i="6"/>
  <c r="N444" i="6"/>
  <c r="N414" i="6" s="1"/>
  <c r="K559" i="6"/>
  <c r="I543" i="6"/>
  <c r="K543" i="6" s="1"/>
  <c r="N631" i="6"/>
  <c r="N629" i="6" s="1"/>
  <c r="N632" i="6"/>
  <c r="K675" i="6"/>
  <c r="N754" i="6"/>
  <c r="N805" i="6"/>
  <c r="K821" i="6"/>
  <c r="K827" i="6"/>
  <c r="L447" i="6"/>
  <c r="O447" i="6" s="1"/>
  <c r="O449" i="6"/>
  <c r="N786" i="6"/>
  <c r="K825" i="6"/>
  <c r="O394" i="6"/>
  <c r="O397" i="6"/>
  <c r="J417" i="6"/>
  <c r="N505" i="6"/>
  <c r="L547" i="6"/>
  <c r="O547" i="6" s="1"/>
  <c r="L555" i="6"/>
  <c r="O555" i="6" s="1"/>
  <c r="M634" i="6"/>
  <c r="K672" i="6"/>
  <c r="L688" i="6"/>
  <c r="O688" i="6" s="1"/>
  <c r="M690" i="6"/>
  <c r="I654" i="6"/>
  <c r="K654" i="6" s="1"/>
  <c r="K288" i="5"/>
  <c r="J275" i="5"/>
  <c r="L36" i="5"/>
  <c r="O36" i="5" s="1"/>
  <c r="N134" i="5"/>
  <c r="N132" i="5" s="1"/>
  <c r="I275" i="5"/>
  <c r="O306" i="5"/>
  <c r="O44" i="5"/>
  <c r="N26" i="5"/>
  <c r="N16" i="5" s="1"/>
  <c r="J364" i="5"/>
  <c r="L404" i="5"/>
  <c r="O404" i="5" s="1"/>
  <c r="M634" i="5"/>
  <c r="P634" i="5" s="1"/>
  <c r="K359" i="3"/>
  <c r="K362" i="3"/>
  <c r="N68" i="4"/>
  <c r="N66" i="4" s="1"/>
  <c r="K204" i="4"/>
  <c r="L555" i="4"/>
  <c r="O555" i="4" s="1"/>
  <c r="O557" i="4"/>
  <c r="L43" i="5"/>
  <c r="L41" i="5" s="1"/>
  <c r="O46" i="5"/>
  <c r="L69" i="5"/>
  <c r="O69" i="5" s="1"/>
  <c r="N91" i="5"/>
  <c r="L94" i="5"/>
  <c r="O94" i="5" s="1"/>
  <c r="M135" i="5"/>
  <c r="P135" i="5" s="1"/>
  <c r="P137" i="5"/>
  <c r="M171" i="5"/>
  <c r="P171" i="5" s="1"/>
  <c r="I190" i="5"/>
  <c r="K190" i="5" s="1"/>
  <c r="I276" i="5"/>
  <c r="K276" i="5" s="1"/>
  <c r="P280" i="5"/>
  <c r="K309" i="5"/>
  <c r="K362" i="5"/>
  <c r="K379" i="5"/>
  <c r="N391" i="5"/>
  <c r="N389" i="5" s="1"/>
  <c r="K435" i="5"/>
  <c r="L526" i="4"/>
  <c r="O526" i="4" s="1"/>
  <c r="N55" i="3"/>
  <c r="N53" i="3" s="1"/>
  <c r="M347" i="3"/>
  <c r="M345" i="3" s="1"/>
  <c r="N391" i="3"/>
  <c r="N389" i="3" s="1"/>
  <c r="L155" i="4"/>
  <c r="O155" i="4" s="1"/>
  <c r="N279" i="4"/>
  <c r="N277" i="4" s="1"/>
  <c r="L392" i="4"/>
  <c r="O392" i="4" s="1"/>
  <c r="M44" i="5"/>
  <c r="P44" i="5" s="1"/>
  <c r="N69" i="5"/>
  <c r="L68" i="5"/>
  <c r="O68" i="5" s="1"/>
  <c r="L229" i="5"/>
  <c r="L283" i="5"/>
  <c r="O283" i="5" s="1"/>
  <c r="L405" i="5"/>
  <c r="O405" i="5" s="1"/>
  <c r="K672" i="5"/>
  <c r="K355" i="3"/>
  <c r="I443" i="3"/>
  <c r="K443" i="3" s="1"/>
  <c r="L47" i="5"/>
  <c r="O47" i="5" s="1"/>
  <c r="N183" i="5"/>
  <c r="N181" i="5" s="1"/>
  <c r="L198" i="5"/>
  <c r="O198" i="5" s="1"/>
  <c r="L209" i="5"/>
  <c r="O209" i="5" s="1"/>
  <c r="L230" i="5"/>
  <c r="N300" i="5"/>
  <c r="O348" i="5"/>
  <c r="K385" i="5"/>
  <c r="I434" i="5"/>
  <c r="K434" i="5" s="1"/>
  <c r="L469" i="5"/>
  <c r="L467" i="5" s="1"/>
  <c r="L526" i="5"/>
  <c r="O526" i="5" s="1"/>
  <c r="L525" i="5"/>
  <c r="L523" i="5" s="1"/>
  <c r="O523" i="5" s="1"/>
  <c r="J721" i="3"/>
  <c r="K721" i="3" s="1"/>
  <c r="N43" i="4"/>
  <c r="N41" i="4" s="1"/>
  <c r="L231" i="4"/>
  <c r="L330" i="4"/>
  <c r="L328" i="4" s="1"/>
  <c r="L687" i="4"/>
  <c r="L685" i="4" s="1"/>
  <c r="O685" i="4" s="1"/>
  <c r="M43" i="5"/>
  <c r="K80" i="5"/>
  <c r="L231" i="5"/>
  <c r="L317" i="5"/>
  <c r="P320" i="5"/>
  <c r="L421" i="5"/>
  <c r="L419" i="5" s="1"/>
  <c r="K437" i="5"/>
  <c r="J433" i="5"/>
  <c r="J417" i="5" s="1"/>
  <c r="K417" i="5" s="1"/>
  <c r="O456" i="5"/>
  <c r="L454" i="5"/>
  <c r="O454" i="5" s="1"/>
  <c r="O557" i="5"/>
  <c r="L555" i="5"/>
  <c r="O555" i="5" s="1"/>
  <c r="I297" i="3"/>
  <c r="K297" i="3" s="1"/>
  <c r="M318" i="3"/>
  <c r="P318" i="3" s="1"/>
  <c r="M321" i="3"/>
  <c r="P321" i="3" s="1"/>
  <c r="M90" i="4"/>
  <c r="M88" i="4" s="1"/>
  <c r="P96" i="4"/>
  <c r="K720" i="4"/>
  <c r="L33" i="5"/>
  <c r="M125" i="5"/>
  <c r="P125" i="5" s="1"/>
  <c r="L135" i="5"/>
  <c r="O135" i="5" s="1"/>
  <c r="M152" i="5"/>
  <c r="P152" i="5" s="1"/>
  <c r="L167" i="5"/>
  <c r="O167" i="5" s="1"/>
  <c r="P285" i="5"/>
  <c r="L300" i="5"/>
  <c r="L298" i="5" s="1"/>
  <c r="O301" i="5"/>
  <c r="N347" i="5"/>
  <c r="N345" i="5" s="1"/>
  <c r="L422" i="5"/>
  <c r="I654" i="5"/>
  <c r="K654" i="5" s="1"/>
  <c r="K675" i="5"/>
  <c r="K669" i="5"/>
  <c r="L263" i="2"/>
  <c r="L261" i="2" s="1"/>
  <c r="O264" i="5"/>
  <c r="L788" i="5"/>
  <c r="O788" i="5" s="1"/>
  <c r="N121" i="3"/>
  <c r="N119" i="3" s="1"/>
  <c r="M168" i="4"/>
  <c r="M171" i="4"/>
  <c r="P171" i="4" s="1"/>
  <c r="N183" i="4"/>
  <c r="N181" i="4" s="1"/>
  <c r="I276" i="4"/>
  <c r="K276" i="4" s="1"/>
  <c r="L279" i="4"/>
  <c r="L277" i="4" s="1"/>
  <c r="I112" i="5"/>
  <c r="K112" i="5" s="1"/>
  <c r="L217" i="5"/>
  <c r="O217" i="5" s="1"/>
  <c r="P264" i="5"/>
  <c r="M279" i="5"/>
  <c r="M277" i="5" s="1"/>
  <c r="O303" i="5"/>
  <c r="K359" i="5"/>
  <c r="L547" i="5"/>
  <c r="O547" i="5" s="1"/>
  <c r="L546" i="5"/>
  <c r="L544" i="5" s="1"/>
  <c r="O544" i="5" s="1"/>
  <c r="I592" i="5"/>
  <c r="K592" i="5" s="1"/>
  <c r="I208" i="3"/>
  <c r="K208" i="3" s="1"/>
  <c r="L231" i="3"/>
  <c r="N134" i="4"/>
  <c r="N132" i="4" s="1"/>
  <c r="M151" i="4"/>
  <c r="M149" i="4" s="1"/>
  <c r="K374" i="4"/>
  <c r="L469" i="4"/>
  <c r="L467" i="4" s="1"/>
  <c r="O467" i="4" s="1"/>
  <c r="K825" i="4"/>
  <c r="P184" i="5"/>
  <c r="L238" i="5"/>
  <c r="O238" i="5" s="1"/>
  <c r="L263" i="5"/>
  <c r="L261" i="5" s="1"/>
  <c r="K340" i="5"/>
  <c r="K360" i="5"/>
  <c r="K374" i="5"/>
  <c r="N404" i="5"/>
  <c r="N402" i="5" s="1"/>
  <c r="M449" i="5"/>
  <c r="P449" i="5" s="1"/>
  <c r="L446" i="5"/>
  <c r="L444" i="5" s="1"/>
  <c r="K649" i="5"/>
  <c r="L687" i="5"/>
  <c r="J722" i="5"/>
  <c r="K822" i="5"/>
  <c r="K828" i="5"/>
  <c r="K647" i="5"/>
  <c r="K823" i="5"/>
  <c r="K98" i="5"/>
  <c r="I86" i="5"/>
  <c r="K86" i="5" s="1"/>
  <c r="O140" i="5"/>
  <c r="L134" i="5"/>
  <c r="O134" i="5" s="1"/>
  <c r="M167" i="1"/>
  <c r="M165" i="1" s="1"/>
  <c r="N183" i="1"/>
  <c r="N181" i="1" s="1"/>
  <c r="N280" i="4"/>
  <c r="L59" i="5"/>
  <c r="O59" i="5" s="1"/>
  <c r="O61" i="5"/>
  <c r="O89" i="5"/>
  <c r="L138" i="5"/>
  <c r="O138" i="5" s="1"/>
  <c r="L547" i="2"/>
  <c r="O547" i="2" s="1"/>
  <c r="P186" i="3"/>
  <c r="I130" i="4"/>
  <c r="K130" i="4" s="1"/>
  <c r="I190" i="4"/>
  <c r="K190" i="4" s="1"/>
  <c r="L249" i="4"/>
  <c r="O249" i="4" s="1"/>
  <c r="M300" i="4"/>
  <c r="M298" i="4" s="1"/>
  <c r="K340" i="4"/>
  <c r="K729" i="4"/>
  <c r="P25" i="5"/>
  <c r="M15" i="5"/>
  <c r="P59" i="5"/>
  <c r="K143" i="5"/>
  <c r="I131" i="5"/>
  <c r="K131" i="5" s="1"/>
  <c r="I130" i="5"/>
  <c r="K130" i="5" s="1"/>
  <c r="K146" i="5"/>
  <c r="O186" i="5"/>
  <c r="L183" i="5"/>
  <c r="P262" i="5"/>
  <c r="K365" i="5"/>
  <c r="I364" i="5"/>
  <c r="O390" i="5"/>
  <c r="L56" i="5"/>
  <c r="O56" i="5" s="1"/>
  <c r="O58" i="5"/>
  <c r="O120" i="5"/>
  <c r="L155" i="5"/>
  <c r="O155" i="5" s="1"/>
  <c r="O157" i="5"/>
  <c r="N300" i="2"/>
  <c r="N298" i="2" s="1"/>
  <c r="M23" i="5"/>
  <c r="M21" i="5" s="1"/>
  <c r="P58" i="5"/>
  <c r="P120" i="5"/>
  <c r="K255" i="5"/>
  <c r="I248" i="5"/>
  <c r="K248" i="5" s="1"/>
  <c r="L94" i="4"/>
  <c r="O94" i="4" s="1"/>
  <c r="I233" i="4"/>
  <c r="K233" i="4" s="1"/>
  <c r="N15" i="5"/>
  <c r="P32" i="5"/>
  <c r="M29" i="5"/>
  <c r="L184" i="5"/>
  <c r="O184" i="5" s="1"/>
  <c r="P186" i="5"/>
  <c r="M183" i="5"/>
  <c r="M304" i="5"/>
  <c r="P304" i="5" s="1"/>
  <c r="P306" i="5"/>
  <c r="O350" i="5"/>
  <c r="L347" i="5"/>
  <c r="K355" i="5"/>
  <c r="P44" i="4"/>
  <c r="P157" i="5"/>
  <c r="M151" i="5"/>
  <c r="O333" i="5"/>
  <c r="L330" i="5"/>
  <c r="L125" i="3"/>
  <c r="O125" i="3" s="1"/>
  <c r="N347" i="3"/>
  <c r="N345" i="3" s="1"/>
  <c r="I216" i="4"/>
  <c r="K216" i="4" s="1"/>
  <c r="I237" i="4"/>
  <c r="K237" i="4" s="1"/>
  <c r="I248" i="4"/>
  <c r="K248" i="4" s="1"/>
  <c r="P282" i="4"/>
  <c r="K701" i="4"/>
  <c r="L23" i="5"/>
  <c r="L21" i="5" s="1"/>
  <c r="N31" i="5"/>
  <c r="N29" i="5"/>
  <c r="N28" i="5" s="1"/>
  <c r="L55" i="5"/>
  <c r="L152" i="5"/>
  <c r="O152" i="5" s="1"/>
  <c r="L151" i="5"/>
  <c r="O154" i="5"/>
  <c r="P323" i="5"/>
  <c r="M317" i="5"/>
  <c r="P350" i="5"/>
  <c r="M347" i="5"/>
  <c r="M348" i="5"/>
  <c r="P348" i="5" s="1"/>
  <c r="I522" i="5"/>
  <c r="M549" i="2"/>
  <c r="M546" i="2" s="1"/>
  <c r="P546" i="2" s="1"/>
  <c r="L546" i="2"/>
  <c r="O546" i="2" s="1"/>
  <c r="N56" i="3"/>
  <c r="O56" i="3" s="1"/>
  <c r="N55" i="4"/>
  <c r="N53" i="4" s="1"/>
  <c r="L69" i="4"/>
  <c r="O69" i="4" s="1"/>
  <c r="L90" i="4"/>
  <c r="L88" i="4" s="1"/>
  <c r="M121" i="4"/>
  <c r="P121" i="4" s="1"/>
  <c r="M125" i="4"/>
  <c r="P125" i="4" s="1"/>
  <c r="L134" i="4"/>
  <c r="L132" i="4" s="1"/>
  <c r="O186" i="4"/>
  <c r="N300" i="4"/>
  <c r="N298" i="4" s="1"/>
  <c r="P306" i="4"/>
  <c r="I314" i="4"/>
  <c r="K314" i="4" s="1"/>
  <c r="M318" i="4"/>
  <c r="P318" i="4" s="1"/>
  <c r="N330" i="4"/>
  <c r="N328" i="4" s="1"/>
  <c r="M408" i="4"/>
  <c r="P408" i="4" s="1"/>
  <c r="L36" i="4"/>
  <c r="O36" i="4" s="1"/>
  <c r="L657" i="4"/>
  <c r="O657" i="4" s="1"/>
  <c r="M12" i="5"/>
  <c r="N19" i="5"/>
  <c r="L26" i="5"/>
  <c r="O54" i="5"/>
  <c r="M56" i="5"/>
  <c r="P56" i="5" s="1"/>
  <c r="M26" i="5"/>
  <c r="P61" i="5"/>
  <c r="N90" i="5"/>
  <c r="N88" i="5" s="1"/>
  <c r="N23" i="5"/>
  <c r="M155" i="5"/>
  <c r="P155" i="5" s="1"/>
  <c r="P170" i="5"/>
  <c r="M167" i="5"/>
  <c r="P167" i="5" s="1"/>
  <c r="P182" i="5"/>
  <c r="K204" i="5"/>
  <c r="K244" i="5"/>
  <c r="I237" i="5"/>
  <c r="I233" i="5"/>
  <c r="K233" i="5" s="1"/>
  <c r="N263" i="5"/>
  <c r="M267" i="5"/>
  <c r="P267" i="5" s="1"/>
  <c r="P269" i="5"/>
  <c r="P333" i="5"/>
  <c r="M330" i="5"/>
  <c r="M331" i="5"/>
  <c r="J327" i="5"/>
  <c r="K327" i="5" s="1"/>
  <c r="P394" i="5"/>
  <c r="M391" i="5"/>
  <c r="P391" i="5" s="1"/>
  <c r="L228" i="5"/>
  <c r="L249" i="5"/>
  <c r="O249" i="5" s="1"/>
  <c r="O282" i="5"/>
  <c r="M301" i="5"/>
  <c r="P301" i="5" s="1"/>
  <c r="P303" i="5"/>
  <c r="O316" i="5"/>
  <c r="K325" i="5"/>
  <c r="N331" i="5"/>
  <c r="O331" i="5" s="1"/>
  <c r="N469" i="5"/>
  <c r="N467" i="5" s="1"/>
  <c r="N470" i="5"/>
  <c r="O93" i="5"/>
  <c r="L121" i="5"/>
  <c r="O121" i="5" s="1"/>
  <c r="N151" i="5"/>
  <c r="N149" i="5" s="1"/>
  <c r="I208" i="5"/>
  <c r="K208" i="5" s="1"/>
  <c r="K224" i="5"/>
  <c r="M263" i="5"/>
  <c r="M261" i="5" s="1"/>
  <c r="O266" i="5"/>
  <c r="N279" i="5"/>
  <c r="P282" i="5"/>
  <c r="L318" i="5"/>
  <c r="O318" i="5" s="1"/>
  <c r="N446" i="5"/>
  <c r="N447" i="5"/>
  <c r="O449" i="5"/>
  <c r="K442" i="5"/>
  <c r="L12" i="5"/>
  <c r="L19" i="5"/>
  <c r="I77" i="5"/>
  <c r="O127" i="5"/>
  <c r="P266" i="5"/>
  <c r="M318" i="5"/>
  <c r="P318" i="5" s="1"/>
  <c r="K369" i="5"/>
  <c r="O394" i="5"/>
  <c r="L391" i="5"/>
  <c r="O391" i="5" s="1"/>
  <c r="O397" i="5"/>
  <c r="L395" i="5"/>
  <c r="O395" i="5" s="1"/>
  <c r="O447" i="5"/>
  <c r="N546" i="5"/>
  <c r="N544" i="5" s="1"/>
  <c r="N547" i="5"/>
  <c r="M502" i="5"/>
  <c r="P502" i="5" s="1"/>
  <c r="P503" i="5"/>
  <c r="O660" i="5"/>
  <c r="L658" i="5"/>
  <c r="O658" i="5" s="1"/>
  <c r="P334" i="5"/>
  <c r="P336" i="5"/>
  <c r="P351" i="5"/>
  <c r="P353" i="5"/>
  <c r="K378" i="5"/>
  <c r="M395" i="5"/>
  <c r="P395" i="5" s="1"/>
  <c r="N419" i="5"/>
  <c r="M421" i="5"/>
  <c r="M422" i="5"/>
  <c r="P424" i="5"/>
  <c r="N525" i="5"/>
  <c r="N523" i="5" s="1"/>
  <c r="N526" i="5"/>
  <c r="N631" i="5"/>
  <c r="N632" i="5"/>
  <c r="O632" i="5" s="1"/>
  <c r="K651" i="5"/>
  <c r="I628" i="5"/>
  <c r="K628" i="5" s="1"/>
  <c r="N422" i="5"/>
  <c r="N421" i="5"/>
  <c r="M472" i="5"/>
  <c r="L470" i="5"/>
  <c r="O470" i="5" s="1"/>
  <c r="O472" i="5"/>
  <c r="N786" i="5"/>
  <c r="J537" i="5"/>
  <c r="J522" i="5" s="1"/>
  <c r="K594" i="5"/>
  <c r="L655" i="5"/>
  <c r="O655" i="5" s="1"/>
  <c r="O657" i="5"/>
  <c r="K460" i="5"/>
  <c r="M528" i="5"/>
  <c r="M549" i="5"/>
  <c r="O424" i="5"/>
  <c r="K538" i="5"/>
  <c r="O641" i="5"/>
  <c r="K674" i="5"/>
  <c r="N688" i="5"/>
  <c r="N808" i="5"/>
  <c r="O528" i="5"/>
  <c r="O549" i="5"/>
  <c r="O634" i="5"/>
  <c r="O791" i="5"/>
  <c r="N134" i="3"/>
  <c r="N132" i="3" s="1"/>
  <c r="L167" i="3"/>
  <c r="L165" i="3" s="1"/>
  <c r="K822" i="3"/>
  <c r="L33" i="4"/>
  <c r="L31" i="4" s="1"/>
  <c r="O31" i="4" s="1"/>
  <c r="K99" i="4"/>
  <c r="I87" i="4"/>
  <c r="K87" i="4" s="1"/>
  <c r="M183" i="4"/>
  <c r="M181" i="4" s="1"/>
  <c r="O303" i="4"/>
  <c r="O549" i="4"/>
  <c r="M549" i="4"/>
  <c r="M546" i="4" s="1"/>
  <c r="P546" i="4" s="1"/>
  <c r="J721" i="4"/>
  <c r="K721" i="4" s="1"/>
  <c r="L789" i="4"/>
  <c r="O789" i="4" s="1"/>
  <c r="L91" i="4"/>
  <c r="O91" i="4" s="1"/>
  <c r="N348" i="4"/>
  <c r="N347" i="4"/>
  <c r="N345" i="4" s="1"/>
  <c r="L280" i="4"/>
  <c r="O282" i="4"/>
  <c r="O410" i="4"/>
  <c r="L408" i="4"/>
  <c r="O408" i="4" s="1"/>
  <c r="K672" i="4"/>
  <c r="K674" i="4"/>
  <c r="O140" i="4"/>
  <c r="N138" i="4"/>
  <c r="O138" i="4" s="1"/>
  <c r="M69" i="4"/>
  <c r="P69" i="4" s="1"/>
  <c r="O135" i="4"/>
  <c r="P152" i="4"/>
  <c r="M155" i="4"/>
  <c r="P155" i="4" s="1"/>
  <c r="P157" i="4"/>
  <c r="L304" i="4"/>
  <c r="O304" i="4" s="1"/>
  <c r="O431" i="4"/>
  <c r="L429" i="4"/>
  <c r="O429" i="4" s="1"/>
  <c r="L263" i="3"/>
  <c r="L261" i="3" s="1"/>
  <c r="K379" i="3"/>
  <c r="K699" i="3"/>
  <c r="L72" i="4"/>
  <c r="O72" i="4" s="1"/>
  <c r="K215" i="4"/>
  <c r="M280" i="4"/>
  <c r="O320" i="4"/>
  <c r="K359" i="4"/>
  <c r="N404" i="4"/>
  <c r="N402" i="4" s="1"/>
  <c r="N408" i="4"/>
  <c r="L788" i="4"/>
  <c r="O788" i="4" s="1"/>
  <c r="K821" i="4"/>
  <c r="K827" i="4"/>
  <c r="P350" i="4"/>
  <c r="K385" i="4"/>
  <c r="O690" i="4"/>
  <c r="K728" i="4"/>
  <c r="P61" i="4"/>
  <c r="L238" i="4"/>
  <c r="O238" i="4" s="1"/>
  <c r="I364" i="4"/>
  <c r="O472" i="4"/>
  <c r="K826" i="4"/>
  <c r="L44" i="4"/>
  <c r="O44" i="4" s="1"/>
  <c r="L43" i="4"/>
  <c r="O46" i="4"/>
  <c r="P58" i="4"/>
  <c r="M56" i="4"/>
  <c r="P56" i="4" s="1"/>
  <c r="M55" i="4"/>
  <c r="N26" i="4"/>
  <c r="N16" i="4" s="1"/>
  <c r="N14" i="4" s="1"/>
  <c r="L171" i="4"/>
  <c r="O171" i="4" s="1"/>
  <c r="O173" i="4"/>
  <c r="O269" i="4"/>
  <c r="L267" i="4"/>
  <c r="O267" i="4" s="1"/>
  <c r="L263" i="4"/>
  <c r="L261" i="4" s="1"/>
  <c r="P285" i="4"/>
  <c r="M283" i="4"/>
  <c r="P283" i="4" s="1"/>
  <c r="L152" i="3"/>
  <c r="O152" i="3" s="1"/>
  <c r="O154" i="3"/>
  <c r="O124" i="4"/>
  <c r="L122" i="4"/>
  <c r="O122" i="4" s="1"/>
  <c r="L121" i="4"/>
  <c r="J365" i="4"/>
  <c r="J364" i="4" s="1"/>
  <c r="K372" i="4"/>
  <c r="O397" i="4"/>
  <c r="L395" i="4"/>
  <c r="O395" i="4" s="1"/>
  <c r="L391" i="4"/>
  <c r="O391" i="4" s="1"/>
  <c r="N318" i="4"/>
  <c r="N317" i="4"/>
  <c r="N315" i="4" s="1"/>
  <c r="I592" i="4"/>
  <c r="K592" i="4" s="1"/>
  <c r="K593" i="4"/>
  <c r="K78" i="4"/>
  <c r="I76" i="4"/>
  <c r="I64" i="4" s="1"/>
  <c r="K64" i="4" s="1"/>
  <c r="O154" i="4"/>
  <c r="L152" i="4"/>
  <c r="O152" i="4" s="1"/>
  <c r="I174" i="4"/>
  <c r="K174" i="4" s="1"/>
  <c r="K176" i="4"/>
  <c r="L187" i="4"/>
  <c r="O187" i="4" s="1"/>
  <c r="L183" i="4"/>
  <c r="O353" i="4"/>
  <c r="L351" i="4"/>
  <c r="O351" i="4" s="1"/>
  <c r="O424" i="4"/>
  <c r="L422" i="4"/>
  <c r="O422" i="4" s="1"/>
  <c r="M424" i="4"/>
  <c r="M421" i="4" s="1"/>
  <c r="M419" i="4" s="1"/>
  <c r="L421" i="4"/>
  <c r="O421" i="4" s="1"/>
  <c r="O634" i="4"/>
  <c r="L632" i="4"/>
  <c r="O632" i="4" s="1"/>
  <c r="P74" i="4"/>
  <c r="M68" i="4"/>
  <c r="L405" i="4"/>
  <c r="O405" i="4" s="1"/>
  <c r="O407" i="4"/>
  <c r="L404" i="4"/>
  <c r="I248" i="3"/>
  <c r="K248" i="3" s="1"/>
  <c r="O634" i="3"/>
  <c r="M26" i="4"/>
  <c r="M24" i="4" s="1"/>
  <c r="M59" i="4"/>
  <c r="P59" i="4" s="1"/>
  <c r="M122" i="4"/>
  <c r="P122" i="4" s="1"/>
  <c r="P154" i="4"/>
  <c r="P189" i="4"/>
  <c r="P269" i="4"/>
  <c r="L301" i="4"/>
  <c r="M317" i="4"/>
  <c r="M321" i="4"/>
  <c r="P321" i="4" s="1"/>
  <c r="J327" i="4"/>
  <c r="K327" i="4" s="1"/>
  <c r="K360" i="4"/>
  <c r="L658" i="4"/>
  <c r="O658" i="4" s="1"/>
  <c r="K673" i="4"/>
  <c r="K726" i="4"/>
  <c r="J364" i="3"/>
  <c r="L47" i="4"/>
  <c r="O47" i="4" s="1"/>
  <c r="L125" i="4"/>
  <c r="O125" i="4" s="1"/>
  <c r="L209" i="4"/>
  <c r="O209" i="4" s="1"/>
  <c r="L217" i="4"/>
  <c r="O217" i="4" s="1"/>
  <c r="M404" i="4"/>
  <c r="P407" i="4"/>
  <c r="K370" i="3"/>
  <c r="K381" i="3"/>
  <c r="L631" i="3"/>
  <c r="O631" i="3" s="1"/>
  <c r="M43" i="4"/>
  <c r="L55" i="4"/>
  <c r="L53" i="4" s="1"/>
  <c r="I143" i="4"/>
  <c r="I131" i="4" s="1"/>
  <c r="M263" i="4"/>
  <c r="M261" i="4" s="1"/>
  <c r="O336" i="4"/>
  <c r="K369" i="4"/>
  <c r="K379" i="4"/>
  <c r="I433" i="4"/>
  <c r="I417" i="4" s="1"/>
  <c r="K824" i="4"/>
  <c r="L90" i="2"/>
  <c r="L88" i="2" s="1"/>
  <c r="N404" i="2"/>
  <c r="N402" i="2" s="1"/>
  <c r="O269" i="3"/>
  <c r="O303" i="3"/>
  <c r="K708" i="4"/>
  <c r="K822" i="4"/>
  <c r="K828" i="4"/>
  <c r="L454" i="2"/>
  <c r="O454" i="2" s="1"/>
  <c r="K204" i="3"/>
  <c r="P269" i="3"/>
  <c r="N404" i="3"/>
  <c r="N402" i="3" s="1"/>
  <c r="N23" i="4"/>
  <c r="N21" i="4" s="1"/>
  <c r="O137" i="4"/>
  <c r="L229" i="4"/>
  <c r="M279" i="4"/>
  <c r="L317" i="4"/>
  <c r="L315" i="4" s="1"/>
  <c r="O315" i="4" s="1"/>
  <c r="K370" i="4"/>
  <c r="I654" i="4"/>
  <c r="M660" i="4"/>
  <c r="M657" i="4" s="1"/>
  <c r="P657" i="4" s="1"/>
  <c r="K725" i="4"/>
  <c r="K823" i="4"/>
  <c r="M151" i="2"/>
  <c r="M149" i="2" s="1"/>
  <c r="O320" i="2"/>
  <c r="L446" i="2"/>
  <c r="O446" i="2" s="1"/>
  <c r="M56" i="3"/>
  <c r="N68" i="3"/>
  <c r="N66" i="3" s="1"/>
  <c r="P32" i="4"/>
  <c r="M29" i="4"/>
  <c r="J143" i="4"/>
  <c r="J131" i="4" s="1"/>
  <c r="K144" i="4"/>
  <c r="L168" i="4"/>
  <c r="O170" i="4"/>
  <c r="L167" i="4"/>
  <c r="P299" i="4"/>
  <c r="O329" i="4"/>
  <c r="I297" i="2"/>
  <c r="K297" i="2" s="1"/>
  <c r="K381" i="2"/>
  <c r="P61" i="3"/>
  <c r="M69" i="3"/>
  <c r="P69" i="3" s="1"/>
  <c r="I276" i="3"/>
  <c r="K276" i="3" s="1"/>
  <c r="K288" i="3"/>
  <c r="L330" i="3"/>
  <c r="L328" i="3" s="1"/>
  <c r="L446" i="3"/>
  <c r="O446" i="3" s="1"/>
  <c r="K725" i="3"/>
  <c r="O791" i="3"/>
  <c r="K821" i="3"/>
  <c r="K824" i="3"/>
  <c r="K827" i="3"/>
  <c r="M135" i="4"/>
  <c r="P135" i="4" s="1"/>
  <c r="P137" i="4"/>
  <c r="M134" i="4"/>
  <c r="P134" i="4" s="1"/>
  <c r="O545" i="4"/>
  <c r="L408" i="3"/>
  <c r="O408" i="3" s="1"/>
  <c r="P25" i="4"/>
  <c r="M15" i="4"/>
  <c r="L56" i="4"/>
  <c r="O56" i="4" s="1"/>
  <c r="O58" i="4"/>
  <c r="L23" i="4"/>
  <c r="N122" i="4"/>
  <c r="N121" i="4"/>
  <c r="N119" i="4" s="1"/>
  <c r="K159" i="4"/>
  <c r="I148" i="4"/>
  <c r="K148" i="4" s="1"/>
  <c r="O350" i="4"/>
  <c r="L347" i="4"/>
  <c r="L345" i="4" s="1"/>
  <c r="L348" i="4"/>
  <c r="P19" i="4"/>
  <c r="M125" i="2"/>
  <c r="P125" i="2" s="1"/>
  <c r="M404" i="2"/>
  <c r="P404" i="2" s="1"/>
  <c r="I433" i="2"/>
  <c r="I417" i="2" s="1"/>
  <c r="M90" i="3"/>
  <c r="M88" i="3" s="1"/>
  <c r="K145" i="3"/>
  <c r="N151" i="3"/>
  <c r="N149" i="3" s="1"/>
  <c r="N167" i="3"/>
  <c r="N165" i="3" s="1"/>
  <c r="L228" i="3"/>
  <c r="M263" i="3"/>
  <c r="M261" i="3" s="1"/>
  <c r="O456" i="3"/>
  <c r="K537" i="3"/>
  <c r="K825" i="3"/>
  <c r="K828" i="3"/>
  <c r="L59" i="4"/>
  <c r="O59" i="4" s="1"/>
  <c r="L26" i="4"/>
  <c r="O61" i="4"/>
  <c r="N264" i="4"/>
  <c r="O264" i="4" s="1"/>
  <c r="N263" i="4"/>
  <c r="P266" i="4"/>
  <c r="M331" i="4"/>
  <c r="P331" i="4" s="1"/>
  <c r="M330" i="4"/>
  <c r="P333" i="4"/>
  <c r="I148" i="3"/>
  <c r="K148" i="3" s="1"/>
  <c r="K79" i="4"/>
  <c r="I77" i="4"/>
  <c r="K729" i="2"/>
  <c r="M55" i="3"/>
  <c r="M53" i="3" s="1"/>
  <c r="I86" i="3"/>
  <c r="K86" i="3" s="1"/>
  <c r="L151" i="3"/>
  <c r="O151" i="3" s="1"/>
  <c r="P12" i="4"/>
  <c r="N30" i="4"/>
  <c r="N28" i="4" s="1"/>
  <c r="N31" i="4"/>
  <c r="P133" i="4"/>
  <c r="P166" i="4"/>
  <c r="K309" i="4"/>
  <c r="I297" i="4"/>
  <c r="K297" i="4" s="1"/>
  <c r="N12" i="4"/>
  <c r="N19" i="4"/>
  <c r="O42" i="4"/>
  <c r="P46" i="4"/>
  <c r="P49" i="4"/>
  <c r="O67" i="4"/>
  <c r="K115" i="4"/>
  <c r="I112" i="4"/>
  <c r="K112" i="4" s="1"/>
  <c r="N184" i="4"/>
  <c r="P184" i="4" s="1"/>
  <c r="P186" i="4"/>
  <c r="L198" i="4"/>
  <c r="O198" i="4" s="1"/>
  <c r="J275" i="4"/>
  <c r="O285" i="4"/>
  <c r="P336" i="4"/>
  <c r="M334" i="4"/>
  <c r="P334" i="4" s="1"/>
  <c r="J537" i="4"/>
  <c r="J522" i="4" s="1"/>
  <c r="K538" i="4"/>
  <c r="P738" i="4"/>
  <c r="M737" i="4"/>
  <c r="P737" i="4" s="1"/>
  <c r="M23" i="4"/>
  <c r="M138" i="4"/>
  <c r="P140" i="4"/>
  <c r="N168" i="4"/>
  <c r="P170" i="4"/>
  <c r="P303" i="4"/>
  <c r="N301" i="4"/>
  <c r="P353" i="4"/>
  <c r="M347" i="4"/>
  <c r="M351" i="4"/>
  <c r="P351" i="4" s="1"/>
  <c r="M47" i="4"/>
  <c r="P47" i="4" s="1"/>
  <c r="L68" i="4"/>
  <c r="O68" i="4" s="1"/>
  <c r="P93" i="4"/>
  <c r="K197" i="4"/>
  <c r="K208" i="4"/>
  <c r="K225" i="4"/>
  <c r="I260" i="4"/>
  <c r="K260" i="4" s="1"/>
  <c r="K338" i="4"/>
  <c r="I443" i="4"/>
  <c r="K443" i="4" s="1"/>
  <c r="K462" i="4"/>
  <c r="J654" i="4"/>
  <c r="K669" i="4"/>
  <c r="P686" i="4"/>
  <c r="O266" i="4"/>
  <c r="O346" i="4"/>
  <c r="K355" i="4"/>
  <c r="L12" i="4"/>
  <c r="L19" i="4"/>
  <c r="N90" i="4"/>
  <c r="N151" i="4"/>
  <c r="N167" i="4"/>
  <c r="O189" i="4"/>
  <c r="O323" i="4"/>
  <c r="O331" i="4"/>
  <c r="O390" i="4"/>
  <c r="M392" i="4"/>
  <c r="P392" i="4" s="1"/>
  <c r="P394" i="4"/>
  <c r="L447" i="4"/>
  <c r="O447" i="4" s="1"/>
  <c r="O449" i="4"/>
  <c r="M449" i="4"/>
  <c r="M469" i="4"/>
  <c r="P469" i="4" s="1"/>
  <c r="M470" i="4"/>
  <c r="P470" i="4" s="1"/>
  <c r="K594" i="4"/>
  <c r="N685" i="4"/>
  <c r="K723" i="4"/>
  <c r="O333" i="4"/>
  <c r="M348" i="4"/>
  <c r="M395" i="4"/>
  <c r="P395" i="4" s="1"/>
  <c r="P397" i="4"/>
  <c r="O420" i="4"/>
  <c r="L454" i="4"/>
  <c r="O454" i="4" s="1"/>
  <c r="O456" i="4"/>
  <c r="L533" i="4"/>
  <c r="O533" i="4" s="1"/>
  <c r="O535" i="4"/>
  <c r="L525" i="4"/>
  <c r="O525" i="4" s="1"/>
  <c r="P755" i="4"/>
  <c r="M754" i="4"/>
  <c r="P754" i="4" s="1"/>
  <c r="I785" i="4"/>
  <c r="K785" i="4" s="1"/>
  <c r="K800" i="4"/>
  <c r="O806" i="4"/>
  <c r="L805" i="4"/>
  <c r="O805" i="4" s="1"/>
  <c r="N754" i="4"/>
  <c r="N414" i="4" s="1"/>
  <c r="L334" i="4"/>
  <c r="O334" i="4" s="1"/>
  <c r="O547" i="4"/>
  <c r="O656" i="4"/>
  <c r="P771" i="4"/>
  <c r="M770" i="4"/>
  <c r="P770" i="4" s="1"/>
  <c r="O787" i="4"/>
  <c r="K362" i="4"/>
  <c r="I434" i="4"/>
  <c r="K438" i="4"/>
  <c r="K559" i="4"/>
  <c r="I543" i="4"/>
  <c r="K543" i="4" s="1"/>
  <c r="M687" i="4"/>
  <c r="P687" i="4" s="1"/>
  <c r="M688" i="4"/>
  <c r="M786" i="4"/>
  <c r="P786" i="4" s="1"/>
  <c r="P468" i="4"/>
  <c r="L470" i="4"/>
  <c r="O470" i="4" s="1"/>
  <c r="L477" i="4"/>
  <c r="O477" i="4" s="1"/>
  <c r="O503" i="4"/>
  <c r="M545" i="4"/>
  <c r="K576" i="4"/>
  <c r="O630" i="4"/>
  <c r="K651" i="4"/>
  <c r="K675" i="4"/>
  <c r="I442" i="4"/>
  <c r="K442" i="4" s="1"/>
  <c r="J433" i="4"/>
  <c r="N470" i="4"/>
  <c r="L631" i="4"/>
  <c r="O631" i="4" s="1"/>
  <c r="L688" i="4"/>
  <c r="O688" i="4" s="1"/>
  <c r="J722" i="4"/>
  <c r="K722" i="4" s="1"/>
  <c r="N688" i="4"/>
  <c r="K143" i="3"/>
  <c r="I131" i="3"/>
  <c r="K131" i="3" s="1"/>
  <c r="N68" i="2"/>
  <c r="N66" i="2" s="1"/>
  <c r="N134" i="2"/>
  <c r="N132" i="2" s="1"/>
  <c r="L279" i="2"/>
  <c r="L277" i="2" s="1"/>
  <c r="L317" i="2"/>
  <c r="L315" i="2" s="1"/>
  <c r="M23" i="3"/>
  <c r="M21" i="3" s="1"/>
  <c r="O184" i="3"/>
  <c r="L198" i="3"/>
  <c r="O198" i="3" s="1"/>
  <c r="P331" i="3"/>
  <c r="K369" i="3"/>
  <c r="K372" i="3"/>
  <c r="L469" i="3"/>
  <c r="O469" i="3" s="1"/>
  <c r="N121" i="2"/>
  <c r="N119" i="2" s="1"/>
  <c r="L134" i="2"/>
  <c r="L132" i="2" s="1"/>
  <c r="O132" i="2" s="1"/>
  <c r="M155" i="2"/>
  <c r="P155" i="2" s="1"/>
  <c r="L447" i="2"/>
  <c r="O447" i="2" s="1"/>
  <c r="O58" i="3"/>
  <c r="O91" i="3"/>
  <c r="L122" i="3"/>
  <c r="O122" i="3" s="1"/>
  <c r="N152" i="3"/>
  <c r="P152" i="3" s="1"/>
  <c r="L168" i="3"/>
  <c r="O168" i="3" s="1"/>
  <c r="L187" i="3"/>
  <c r="O187" i="3" s="1"/>
  <c r="O264" i="3"/>
  <c r="O351" i="3"/>
  <c r="N405" i="2"/>
  <c r="L135" i="3"/>
  <c r="O135" i="3" s="1"/>
  <c r="L138" i="3"/>
  <c r="O138" i="3" s="1"/>
  <c r="P154" i="3"/>
  <c r="M187" i="3"/>
  <c r="P187" i="3" s="1"/>
  <c r="L280" i="3"/>
  <c r="O280" i="3" s="1"/>
  <c r="L526" i="3"/>
  <c r="O526" i="3" s="1"/>
  <c r="L36" i="3"/>
  <c r="P59" i="3"/>
  <c r="L171" i="3"/>
  <c r="O171" i="3" s="1"/>
  <c r="L90" i="3"/>
  <c r="L88" i="3" s="1"/>
  <c r="M183" i="3"/>
  <c r="M181" i="3" s="1"/>
  <c r="I443" i="2"/>
  <c r="K443" i="2" s="1"/>
  <c r="L183" i="3"/>
  <c r="L181" i="3" s="1"/>
  <c r="O186" i="3"/>
  <c r="N263" i="3"/>
  <c r="N300" i="3"/>
  <c r="N298" i="3" s="1"/>
  <c r="M317" i="3"/>
  <c r="P317" i="3" s="1"/>
  <c r="K700" i="3"/>
  <c r="K826" i="3"/>
  <c r="M280" i="3"/>
  <c r="P280" i="3" s="1"/>
  <c r="P282" i="3"/>
  <c r="M279" i="3"/>
  <c r="P279" i="3" s="1"/>
  <c r="K460" i="3"/>
  <c r="I442" i="3"/>
  <c r="K442" i="3" s="1"/>
  <c r="I86" i="2"/>
  <c r="K86" i="2" s="1"/>
  <c r="L230" i="2"/>
  <c r="L318" i="2"/>
  <c r="L321" i="2"/>
  <c r="O321" i="2" s="1"/>
  <c r="L347" i="2"/>
  <c r="L345" i="2" s="1"/>
  <c r="K365" i="2"/>
  <c r="J364" i="2"/>
  <c r="N23" i="3"/>
  <c r="M43" i="3"/>
  <c r="O44" i="3"/>
  <c r="L59" i="3"/>
  <c r="O59" i="3" s="1"/>
  <c r="L94" i="3"/>
  <c r="O94" i="3" s="1"/>
  <c r="M151" i="3"/>
  <c r="M149" i="3" s="1"/>
  <c r="L231" i="2"/>
  <c r="O472" i="2"/>
  <c r="K823" i="2"/>
  <c r="K826" i="2"/>
  <c r="N43" i="3"/>
  <c r="N41" i="3" s="1"/>
  <c r="P46" i="3"/>
  <c r="N122" i="3"/>
  <c r="P137" i="3"/>
  <c r="J143" i="3"/>
  <c r="J131" i="3" s="1"/>
  <c r="O157" i="3"/>
  <c r="P44" i="3"/>
  <c r="I77" i="3"/>
  <c r="I65" i="3" s="1"/>
  <c r="K65" i="3" s="1"/>
  <c r="O96" i="3"/>
  <c r="I216" i="3"/>
  <c r="K216" i="3" s="1"/>
  <c r="K224" i="3"/>
  <c r="L422" i="3"/>
  <c r="O422" i="3" s="1"/>
  <c r="M424" i="3"/>
  <c r="M421" i="3" s="1"/>
  <c r="M419" i="3" s="1"/>
  <c r="L421" i="3"/>
  <c r="O421" i="3" s="1"/>
  <c r="I208" i="2"/>
  <c r="K208" i="2" s="1"/>
  <c r="K649" i="2"/>
  <c r="M47" i="3"/>
  <c r="P47" i="3" s="1"/>
  <c r="N69" i="3"/>
  <c r="O74" i="3"/>
  <c r="K79" i="3"/>
  <c r="P96" i="3"/>
  <c r="L121" i="3"/>
  <c r="L134" i="3"/>
  <c r="O134" i="3" s="1"/>
  <c r="O170" i="3"/>
  <c r="L304" i="3"/>
  <c r="O304" i="3" s="1"/>
  <c r="O306" i="3"/>
  <c r="O320" i="3"/>
  <c r="L318" i="3"/>
  <c r="O318" i="3" s="1"/>
  <c r="N90" i="2"/>
  <c r="N88" i="2" s="1"/>
  <c r="I112" i="2"/>
  <c r="K112" i="2" s="1"/>
  <c r="K372" i="2"/>
  <c r="M405" i="2"/>
  <c r="P405" i="2" s="1"/>
  <c r="M134" i="3"/>
  <c r="M132" i="3" s="1"/>
  <c r="P132" i="3" s="1"/>
  <c r="K146" i="3"/>
  <c r="P168" i="3"/>
  <c r="M184" i="3"/>
  <c r="P184" i="3" s="1"/>
  <c r="N183" i="3"/>
  <c r="N181" i="3" s="1"/>
  <c r="L300" i="3"/>
  <c r="O300" i="3" s="1"/>
  <c r="L317" i="3"/>
  <c r="O317" i="3" s="1"/>
  <c r="M404" i="3"/>
  <c r="P404" i="3" s="1"/>
  <c r="P407" i="3"/>
  <c r="M405" i="3"/>
  <c r="P405" i="3" s="1"/>
  <c r="P170" i="3"/>
  <c r="K338" i="3"/>
  <c r="K374" i="3"/>
  <c r="J722" i="3"/>
  <c r="K722" i="3" s="1"/>
  <c r="L217" i="3"/>
  <c r="O217" i="3" s="1"/>
  <c r="I260" i="3"/>
  <c r="K260" i="3" s="1"/>
  <c r="L279" i="3"/>
  <c r="J288" i="3"/>
  <c r="J275" i="3" s="1"/>
  <c r="K340" i="3"/>
  <c r="L391" i="3"/>
  <c r="O431" i="3"/>
  <c r="M549" i="3"/>
  <c r="P549" i="3" s="1"/>
  <c r="L639" i="3"/>
  <c r="O639" i="3" s="1"/>
  <c r="L788" i="3"/>
  <c r="O788" i="3" s="1"/>
  <c r="K823" i="3"/>
  <c r="L209" i="3"/>
  <c r="O209" i="3" s="1"/>
  <c r="L230" i="3"/>
  <c r="O266" i="3"/>
  <c r="N279" i="3"/>
  <c r="N277" i="3" s="1"/>
  <c r="L283" i="3"/>
  <c r="O283" i="3" s="1"/>
  <c r="P306" i="3"/>
  <c r="L347" i="3"/>
  <c r="L404" i="3"/>
  <c r="O404" i="3" s="1"/>
  <c r="M408" i="3"/>
  <c r="P408" i="3" s="1"/>
  <c r="I433" i="3"/>
  <c r="L33" i="3"/>
  <c r="O33" i="3" s="1"/>
  <c r="O690" i="3"/>
  <c r="K723" i="3"/>
  <c r="L238" i="3"/>
  <c r="O238" i="3" s="1"/>
  <c r="P266" i="3"/>
  <c r="P285" i="3"/>
  <c r="N330" i="3"/>
  <c r="N328" i="3" s="1"/>
  <c r="K360" i="3"/>
  <c r="K385" i="3"/>
  <c r="J433" i="3"/>
  <c r="J417" i="3" s="1"/>
  <c r="I434" i="3"/>
  <c r="L657" i="3"/>
  <c r="O657" i="3" s="1"/>
  <c r="K674" i="3"/>
  <c r="P91" i="3"/>
  <c r="L91" i="2"/>
  <c r="K99" i="2"/>
  <c r="P186" i="2"/>
  <c r="M391" i="2"/>
  <c r="P391" i="2" s="1"/>
  <c r="L43" i="3"/>
  <c r="L41" i="3" s="1"/>
  <c r="M167" i="3"/>
  <c r="K107" i="1"/>
  <c r="N91" i="2"/>
  <c r="P93" i="2"/>
  <c r="O189" i="2"/>
  <c r="I260" i="2"/>
  <c r="K260" i="2" s="1"/>
  <c r="L264" i="2"/>
  <c r="I275" i="2"/>
  <c r="K275" i="2" s="1"/>
  <c r="N301" i="2"/>
  <c r="O301" i="2" s="1"/>
  <c r="M347" i="2"/>
  <c r="M345" i="2" s="1"/>
  <c r="K379" i="2"/>
  <c r="M395" i="2"/>
  <c r="P395" i="2" s="1"/>
  <c r="M408" i="2"/>
  <c r="P408" i="2" s="1"/>
  <c r="J722" i="2"/>
  <c r="K722" i="2" s="1"/>
  <c r="L26" i="3"/>
  <c r="M34" i="3"/>
  <c r="P34" i="3" s="1"/>
  <c r="L55" i="3"/>
  <c r="N90" i="3"/>
  <c r="O93" i="3"/>
  <c r="K99" i="3"/>
  <c r="I112" i="3"/>
  <c r="K112" i="3" s="1"/>
  <c r="M138" i="3"/>
  <c r="P138" i="3" s="1"/>
  <c r="I233" i="3"/>
  <c r="K233" i="3" s="1"/>
  <c r="P262" i="3"/>
  <c r="P264" i="3"/>
  <c r="N317" i="3"/>
  <c r="N315" i="3" s="1"/>
  <c r="K325" i="3"/>
  <c r="O333" i="3"/>
  <c r="L331" i="3"/>
  <c r="O331" i="3" s="1"/>
  <c r="L429" i="1"/>
  <c r="O429" i="1" s="1"/>
  <c r="P137" i="2"/>
  <c r="I233" i="2"/>
  <c r="K233" i="2" s="1"/>
  <c r="N330" i="2"/>
  <c r="N328" i="2" s="1"/>
  <c r="M171" i="3"/>
  <c r="P171" i="3" s="1"/>
  <c r="N301" i="3"/>
  <c r="O346" i="3"/>
  <c r="O44" i="2"/>
  <c r="K115" i="2"/>
  <c r="K672" i="2"/>
  <c r="L12" i="3"/>
  <c r="L19" i="3"/>
  <c r="M26" i="3"/>
  <c r="L68" i="3"/>
  <c r="O68" i="3" s="1"/>
  <c r="P93" i="3"/>
  <c r="M121" i="3"/>
  <c r="I174" i="3"/>
  <c r="I190" i="3"/>
  <c r="K190" i="3" s="1"/>
  <c r="K244" i="3"/>
  <c r="I237" i="3"/>
  <c r="M300" i="3"/>
  <c r="P300" i="3" s="1"/>
  <c r="P303" i="3"/>
  <c r="M351" i="3"/>
  <c r="P351" i="3" s="1"/>
  <c r="P353" i="3"/>
  <c r="M392" i="3"/>
  <c r="P392" i="3" s="1"/>
  <c r="P394" i="3"/>
  <c r="M391" i="3"/>
  <c r="P391" i="3" s="1"/>
  <c r="N414" i="3"/>
  <c r="P755" i="3"/>
  <c r="M754" i="3"/>
  <c r="P754" i="3" s="1"/>
  <c r="L395" i="2"/>
  <c r="O395" i="2" s="1"/>
  <c r="P407" i="2"/>
  <c r="K577" i="2"/>
  <c r="M152" i="2"/>
  <c r="O333" i="2"/>
  <c r="K385" i="2"/>
  <c r="L421" i="2"/>
  <c r="L419" i="2" s="1"/>
  <c r="O419" i="2" s="1"/>
  <c r="L429" i="2"/>
  <c r="O429" i="2" s="1"/>
  <c r="L788" i="2"/>
  <c r="O788" i="2" s="1"/>
  <c r="K821" i="2"/>
  <c r="K824" i="2"/>
  <c r="M12" i="3"/>
  <c r="M19" i="3"/>
  <c r="N26" i="3"/>
  <c r="O46" i="3"/>
  <c r="O49" i="3"/>
  <c r="M68" i="3"/>
  <c r="P68" i="3" s="1"/>
  <c r="O71" i="3"/>
  <c r="P127" i="3"/>
  <c r="O133" i="3"/>
  <c r="O262" i="3"/>
  <c r="J327" i="3"/>
  <c r="K327" i="3" s="1"/>
  <c r="P336" i="3"/>
  <c r="M330" i="3"/>
  <c r="L533" i="3"/>
  <c r="O533" i="3" s="1"/>
  <c r="O535" i="3"/>
  <c r="O687" i="3"/>
  <c r="L685" i="3"/>
  <c r="O685" i="3" s="1"/>
  <c r="L23" i="3"/>
  <c r="M72" i="3"/>
  <c r="P72" i="3" s="1"/>
  <c r="I76" i="3"/>
  <c r="K80" i="3"/>
  <c r="P124" i="3"/>
  <c r="P157" i="3"/>
  <c r="P166" i="3"/>
  <c r="P182" i="3"/>
  <c r="P299" i="3"/>
  <c r="P316" i="3"/>
  <c r="L321" i="3"/>
  <c r="O321" i="3" s="1"/>
  <c r="M334" i="3"/>
  <c r="P334" i="3" s="1"/>
  <c r="N348" i="3"/>
  <c r="O348" i="3" s="1"/>
  <c r="O420" i="3"/>
  <c r="L43" i="1"/>
  <c r="L41" i="1" s="1"/>
  <c r="N43" i="2"/>
  <c r="N41" i="2" s="1"/>
  <c r="M23" i="2"/>
  <c r="M21" i="2" s="1"/>
  <c r="L183" i="2"/>
  <c r="L181" i="2" s="1"/>
  <c r="L198" i="2"/>
  <c r="O198" i="2" s="1"/>
  <c r="N318" i="2"/>
  <c r="K370" i="2"/>
  <c r="L391" i="2"/>
  <c r="L789" i="2"/>
  <c r="O789" i="2" s="1"/>
  <c r="L658" i="3"/>
  <c r="O658" i="3" s="1"/>
  <c r="O660" i="3"/>
  <c r="M660" i="3"/>
  <c r="L249" i="3"/>
  <c r="P333" i="3"/>
  <c r="K378" i="3"/>
  <c r="M395" i="3"/>
  <c r="P395" i="3" s="1"/>
  <c r="P397" i="3"/>
  <c r="L405" i="3"/>
  <c r="O405" i="3" s="1"/>
  <c r="P420" i="3"/>
  <c r="O472" i="3"/>
  <c r="M472" i="3"/>
  <c r="L555" i="3"/>
  <c r="O555" i="3" s="1"/>
  <c r="L546" i="3"/>
  <c r="O546" i="3" s="1"/>
  <c r="I628" i="3"/>
  <c r="K628" i="3" s="1"/>
  <c r="K651" i="3"/>
  <c r="P686" i="3"/>
  <c r="N754" i="3"/>
  <c r="L334" i="3"/>
  <c r="O334" i="3" s="1"/>
  <c r="O336" i="3"/>
  <c r="M348" i="3"/>
  <c r="P350" i="3"/>
  <c r="P390" i="3"/>
  <c r="N469" i="3"/>
  <c r="N467" i="3" s="1"/>
  <c r="N470" i="3"/>
  <c r="L525" i="3"/>
  <c r="I559" i="3"/>
  <c r="K576" i="3"/>
  <c r="J592" i="3"/>
  <c r="K592" i="3" s="1"/>
  <c r="K593" i="3"/>
  <c r="J669" i="3"/>
  <c r="J654" i="3" s="1"/>
  <c r="K654" i="3" s="1"/>
  <c r="K675" i="3"/>
  <c r="N685" i="3"/>
  <c r="P738" i="3"/>
  <c r="M737" i="3"/>
  <c r="P737" i="3" s="1"/>
  <c r="L447" i="3"/>
  <c r="O447" i="3" s="1"/>
  <c r="O449" i="3"/>
  <c r="O470" i="3"/>
  <c r="P630" i="3"/>
  <c r="M629" i="3"/>
  <c r="P629" i="3" s="1"/>
  <c r="N737" i="3"/>
  <c r="I785" i="3"/>
  <c r="K785" i="3" s="1"/>
  <c r="K800" i="3"/>
  <c r="O806" i="3"/>
  <c r="L805" i="3"/>
  <c r="O805" i="3" s="1"/>
  <c r="P346" i="3"/>
  <c r="P446" i="3"/>
  <c r="M444" i="3"/>
  <c r="P444" i="3" s="1"/>
  <c r="M545" i="3"/>
  <c r="N544" i="3"/>
  <c r="P771" i="3"/>
  <c r="M770" i="3"/>
  <c r="P770" i="3" s="1"/>
  <c r="I364" i="3"/>
  <c r="K365" i="3"/>
  <c r="K438" i="3"/>
  <c r="O445" i="3"/>
  <c r="K466" i="3"/>
  <c r="J537" i="3"/>
  <c r="J522" i="3" s="1"/>
  <c r="O787" i="3"/>
  <c r="N789" i="3"/>
  <c r="O350" i="3"/>
  <c r="O353" i="3"/>
  <c r="O394" i="3"/>
  <c r="O397" i="3"/>
  <c r="O424" i="3"/>
  <c r="O549" i="3"/>
  <c r="M786" i="3"/>
  <c r="P786" i="3" s="1"/>
  <c r="M805" i="3"/>
  <c r="P805" i="3" s="1"/>
  <c r="K672" i="3"/>
  <c r="L688" i="3"/>
  <c r="O688" i="3" s="1"/>
  <c r="M690" i="3"/>
  <c r="N135" i="2"/>
  <c r="M44" i="2"/>
  <c r="P44" i="2" s="1"/>
  <c r="M43" i="2"/>
  <c r="P124" i="2"/>
  <c r="M121" i="2"/>
  <c r="K193" i="2"/>
  <c r="I190" i="2"/>
  <c r="K190" i="2" s="1"/>
  <c r="M331" i="2"/>
  <c r="M330" i="2"/>
  <c r="M328" i="2" s="1"/>
  <c r="K224" i="1"/>
  <c r="P61" i="2"/>
  <c r="M26" i="2"/>
  <c r="M24" i="2" s="1"/>
  <c r="M122" i="2"/>
  <c r="P122" i="2" s="1"/>
  <c r="N263" i="2"/>
  <c r="L167" i="2"/>
  <c r="L171" i="2"/>
  <c r="O171" i="2" s="1"/>
  <c r="O173" i="2"/>
  <c r="K325" i="2"/>
  <c r="I314" i="2"/>
  <c r="K314" i="2" s="1"/>
  <c r="N56" i="2"/>
  <c r="O56" i="2" s="1"/>
  <c r="N55" i="2"/>
  <c r="N53" i="2" s="1"/>
  <c r="M690" i="2"/>
  <c r="M687" i="2" s="1"/>
  <c r="P687" i="2" s="1"/>
  <c r="L687" i="2"/>
  <c r="L685" i="2" s="1"/>
  <c r="O685" i="2" s="1"/>
  <c r="I148" i="2"/>
  <c r="K148" i="2" s="1"/>
  <c r="O170" i="2"/>
  <c r="N168" i="2"/>
  <c r="O168" i="2" s="1"/>
  <c r="M283" i="2"/>
  <c r="P283" i="2" s="1"/>
  <c r="P285" i="2"/>
  <c r="O336" i="2"/>
  <c r="L334" i="2"/>
  <c r="O334" i="2" s="1"/>
  <c r="I235" i="1"/>
  <c r="K821" i="1"/>
  <c r="M47" i="2"/>
  <c r="P47" i="2" s="1"/>
  <c r="M72" i="2"/>
  <c r="P72" i="2" s="1"/>
  <c r="L238" i="2"/>
  <c r="O238" i="2" s="1"/>
  <c r="K620" i="2"/>
  <c r="L183" i="1"/>
  <c r="L181" i="1" s="1"/>
  <c r="N230" i="1"/>
  <c r="J679" i="1"/>
  <c r="J678" i="1" s="1"/>
  <c r="N26" i="2"/>
  <c r="N24" i="2" s="1"/>
  <c r="M317" i="2"/>
  <c r="M315" i="2" s="1"/>
  <c r="J327" i="2"/>
  <c r="K327" i="2" s="1"/>
  <c r="O353" i="2"/>
  <c r="K378" i="2"/>
  <c r="K561" i="2"/>
  <c r="L631" i="2"/>
  <c r="O631" i="2" s="1"/>
  <c r="J721" i="2"/>
  <c r="K721" i="2" s="1"/>
  <c r="K102" i="1"/>
  <c r="K106" i="1"/>
  <c r="P266" i="1"/>
  <c r="K435" i="1"/>
  <c r="L631" i="1"/>
  <c r="L629" i="1" s="1"/>
  <c r="K822" i="1"/>
  <c r="K825" i="1"/>
  <c r="K828" i="1"/>
  <c r="O59" i="2"/>
  <c r="N151" i="2"/>
  <c r="N149" i="2" s="1"/>
  <c r="N183" i="2"/>
  <c r="N181" i="2" s="1"/>
  <c r="L209" i="2"/>
  <c r="O209" i="2" s="1"/>
  <c r="I276" i="2"/>
  <c r="K276" i="2" s="1"/>
  <c r="K340" i="2"/>
  <c r="N347" i="2"/>
  <c r="N345" i="2" s="1"/>
  <c r="K362" i="2"/>
  <c r="P46" i="2"/>
  <c r="N167" i="2"/>
  <c r="N165" i="2" s="1"/>
  <c r="K360" i="2"/>
  <c r="L422" i="2"/>
  <c r="O422" i="2" s="1"/>
  <c r="K647" i="2"/>
  <c r="K674" i="2"/>
  <c r="O690" i="2"/>
  <c r="L44" i="1"/>
  <c r="L47" i="1"/>
  <c r="O47" i="1" s="1"/>
  <c r="N228" i="1"/>
  <c r="N231" i="1"/>
  <c r="M56" i="2"/>
  <c r="M59" i="2"/>
  <c r="P59" i="2" s="1"/>
  <c r="M69" i="2"/>
  <c r="P69" i="2" s="1"/>
  <c r="L94" i="2"/>
  <c r="O94" i="2" s="1"/>
  <c r="M134" i="2"/>
  <c r="M138" i="2"/>
  <c r="P138" i="2" s="1"/>
  <c r="N152" i="2"/>
  <c r="O152" i="2" s="1"/>
  <c r="O154" i="2"/>
  <c r="P173" i="2"/>
  <c r="N264" i="2"/>
  <c r="P264" i="2" s="1"/>
  <c r="O266" i="2"/>
  <c r="L280" i="2"/>
  <c r="O280" i="2" s="1"/>
  <c r="P282" i="2"/>
  <c r="O303" i="2"/>
  <c r="K369" i="2"/>
  <c r="L392" i="2"/>
  <c r="O392" i="2" s="1"/>
  <c r="L470" i="2"/>
  <c r="L555" i="2"/>
  <c r="O555" i="2" s="1"/>
  <c r="O557" i="2"/>
  <c r="K594" i="2"/>
  <c r="K723" i="2"/>
  <c r="J100" i="1"/>
  <c r="K100" i="1" s="1"/>
  <c r="K115" i="1"/>
  <c r="K204" i="1"/>
  <c r="K223" i="1"/>
  <c r="K437" i="1"/>
  <c r="J785" i="1"/>
  <c r="O61" i="2"/>
  <c r="I174" i="2"/>
  <c r="O186" i="2"/>
  <c r="I237" i="2"/>
  <c r="K237" i="2" s="1"/>
  <c r="L229" i="2"/>
  <c r="L267" i="2"/>
  <c r="O267" i="2" s="1"/>
  <c r="L283" i="2"/>
  <c r="O283" i="2" s="1"/>
  <c r="L300" i="2"/>
  <c r="O306" i="2"/>
  <c r="L331" i="2"/>
  <c r="M392" i="2"/>
  <c r="P392" i="2" s="1"/>
  <c r="M449" i="2"/>
  <c r="M446" i="2" s="1"/>
  <c r="M444" i="2" s="1"/>
  <c r="P444" i="2" s="1"/>
  <c r="O634" i="2"/>
  <c r="L688" i="2"/>
  <c r="K827" i="2"/>
  <c r="I236" i="1"/>
  <c r="M347" i="1"/>
  <c r="M345" i="1" s="1"/>
  <c r="I401" i="1"/>
  <c r="K401" i="1" s="1"/>
  <c r="K699" i="1"/>
  <c r="J708" i="1"/>
  <c r="K708" i="1" s="1"/>
  <c r="K720" i="1"/>
  <c r="K728" i="1"/>
  <c r="L43" i="2"/>
  <c r="L41" i="2" s="1"/>
  <c r="O74" i="2"/>
  <c r="M90" i="2"/>
  <c r="M88" i="2" s="1"/>
  <c r="O93" i="2"/>
  <c r="P96" i="2"/>
  <c r="O124" i="2"/>
  <c r="J143" i="2"/>
  <c r="J131" i="2" s="1"/>
  <c r="L151" i="2"/>
  <c r="L149" i="2" s="1"/>
  <c r="M263" i="2"/>
  <c r="M300" i="2"/>
  <c r="K359" i="2"/>
  <c r="L187" i="1"/>
  <c r="O187" i="1" s="1"/>
  <c r="L55" i="2"/>
  <c r="L53" i="2" s="1"/>
  <c r="L121" i="2"/>
  <c r="O121" i="2" s="1"/>
  <c r="P170" i="2"/>
  <c r="L217" i="2"/>
  <c r="O217" i="2" s="1"/>
  <c r="M279" i="2"/>
  <c r="M277" i="2" s="1"/>
  <c r="O282" i="2"/>
  <c r="N317" i="2"/>
  <c r="N315" i="2" s="1"/>
  <c r="M334" i="2"/>
  <c r="P334" i="2" s="1"/>
  <c r="K355" i="2"/>
  <c r="K569" i="2"/>
  <c r="K725" i="2"/>
  <c r="K822" i="2"/>
  <c r="K825" i="2"/>
  <c r="K828" i="2"/>
  <c r="K80" i="1"/>
  <c r="K83" i="1"/>
  <c r="P140" i="1"/>
  <c r="N23" i="2"/>
  <c r="N13" i="2" s="1"/>
  <c r="M55" i="2"/>
  <c r="P58" i="2"/>
  <c r="M68" i="2"/>
  <c r="P154" i="2"/>
  <c r="N279" i="2"/>
  <c r="N277" i="2" s="1"/>
  <c r="P280" i="2"/>
  <c r="K288" i="2"/>
  <c r="L330" i="2"/>
  <c r="L328" i="2" s="1"/>
  <c r="K374" i="2"/>
  <c r="L469" i="2"/>
  <c r="L467" i="2" s="1"/>
  <c r="O467" i="2" s="1"/>
  <c r="P29" i="2"/>
  <c r="P390" i="2"/>
  <c r="L405" i="2"/>
  <c r="O405" i="2" s="1"/>
  <c r="O407" i="2"/>
  <c r="L404" i="2"/>
  <c r="L639" i="1"/>
  <c r="O639" i="1" s="1"/>
  <c r="N449" i="1"/>
  <c r="N447" i="1" s="1"/>
  <c r="P447" i="1" s="1"/>
  <c r="L36" i="1"/>
  <c r="O36" i="1" s="1"/>
  <c r="M12" i="2"/>
  <c r="P15" i="2"/>
  <c r="M19" i="2"/>
  <c r="P22" i="2"/>
  <c r="O46" i="2"/>
  <c r="O89" i="2"/>
  <c r="O137" i="2"/>
  <c r="P738" i="2"/>
  <c r="M737" i="2"/>
  <c r="P737" i="2" s="1"/>
  <c r="M68" i="1"/>
  <c r="M66" i="1" s="1"/>
  <c r="O127" i="1"/>
  <c r="K293" i="1"/>
  <c r="O351" i="1"/>
  <c r="L23" i="2"/>
  <c r="I76" i="2"/>
  <c r="K80" i="2"/>
  <c r="M183" i="2"/>
  <c r="K204" i="2"/>
  <c r="I197" i="2"/>
  <c r="K197" i="2" s="1"/>
  <c r="L228" i="2"/>
  <c r="L249" i="2"/>
  <c r="O249" i="2" s="1"/>
  <c r="P420" i="2"/>
  <c r="K669" i="2"/>
  <c r="J654" i="2"/>
  <c r="K113" i="1"/>
  <c r="O124" i="1"/>
  <c r="K485" i="1"/>
  <c r="J729" i="1"/>
  <c r="K729" i="1" s="1"/>
  <c r="L789" i="1"/>
  <c r="I785" i="1"/>
  <c r="L15" i="2"/>
  <c r="O127" i="2"/>
  <c r="P189" i="2"/>
  <c r="P184" i="2"/>
  <c r="O316" i="2"/>
  <c r="M318" i="2"/>
  <c r="P320" i="2"/>
  <c r="L526" i="2"/>
  <c r="O526" i="2" s="1"/>
  <c r="O528" i="2"/>
  <c r="M528" i="2"/>
  <c r="L33" i="2"/>
  <c r="L533" i="2"/>
  <c r="O533" i="2" s="1"/>
  <c r="O535" i="2"/>
  <c r="L36" i="2"/>
  <c r="K79" i="1"/>
  <c r="M90" i="1"/>
  <c r="M88" i="1" s="1"/>
  <c r="K110" i="1"/>
  <c r="L184" i="1"/>
  <c r="P282" i="1"/>
  <c r="K381" i="1"/>
  <c r="L405" i="1"/>
  <c r="O405" i="1" s="1"/>
  <c r="K439" i="1"/>
  <c r="M547" i="1"/>
  <c r="L26" i="2"/>
  <c r="N30" i="2"/>
  <c r="N28" i="2" s="1"/>
  <c r="O49" i="2"/>
  <c r="O58" i="2"/>
  <c r="L68" i="2"/>
  <c r="O71" i="2"/>
  <c r="O140" i="2"/>
  <c r="I130" i="2"/>
  <c r="K130" i="2" s="1"/>
  <c r="K146" i="2"/>
  <c r="O157" i="2"/>
  <c r="M167" i="2"/>
  <c r="O182" i="2"/>
  <c r="O184" i="2"/>
  <c r="I216" i="2"/>
  <c r="K216" i="2" s="1"/>
  <c r="M321" i="2"/>
  <c r="P321" i="2" s="1"/>
  <c r="P323" i="2"/>
  <c r="N414" i="2"/>
  <c r="L525" i="2"/>
  <c r="M631" i="2"/>
  <c r="M632" i="2"/>
  <c r="P632" i="2" s="1"/>
  <c r="P634" i="2"/>
  <c r="O120" i="2"/>
  <c r="O150" i="2"/>
  <c r="O262" i="2"/>
  <c r="P266" i="2"/>
  <c r="P269" i="2"/>
  <c r="P278" i="2"/>
  <c r="O299" i="2"/>
  <c r="P303" i="2"/>
  <c r="P306" i="2"/>
  <c r="O350" i="2"/>
  <c r="O410" i="2"/>
  <c r="P472" i="2"/>
  <c r="M469" i="2"/>
  <c r="P469" i="2" s="1"/>
  <c r="M470" i="2"/>
  <c r="L658" i="2"/>
  <c r="O658" i="2" s="1"/>
  <c r="O660" i="2"/>
  <c r="M660" i="2"/>
  <c r="P686" i="2"/>
  <c r="I77" i="2"/>
  <c r="K244" i="2"/>
  <c r="K559" i="2"/>
  <c r="I543" i="2"/>
  <c r="K543" i="2" s="1"/>
  <c r="K651" i="2"/>
  <c r="I628" i="2"/>
  <c r="K628" i="2" s="1"/>
  <c r="O657" i="2"/>
  <c r="L655" i="2"/>
  <c r="O655" i="2" s="1"/>
  <c r="P755" i="2"/>
  <c r="M754" i="2"/>
  <c r="P754" i="2" s="1"/>
  <c r="I785" i="2"/>
  <c r="K785" i="2" s="1"/>
  <c r="K800" i="2"/>
  <c r="O806" i="2"/>
  <c r="L805" i="2"/>
  <c r="O805" i="2" s="1"/>
  <c r="K338" i="2"/>
  <c r="N348" i="2"/>
  <c r="O348" i="2" s="1"/>
  <c r="P350" i="2"/>
  <c r="I364" i="2"/>
  <c r="M421" i="2"/>
  <c r="P421" i="2" s="1"/>
  <c r="M422" i="2"/>
  <c r="P422" i="2" s="1"/>
  <c r="P424" i="2"/>
  <c r="J537" i="2"/>
  <c r="J522" i="2" s="1"/>
  <c r="K538" i="2"/>
  <c r="M805" i="2"/>
  <c r="P805" i="2" s="1"/>
  <c r="J593" i="2"/>
  <c r="K675" i="2"/>
  <c r="P771" i="2"/>
  <c r="M770" i="2"/>
  <c r="P770" i="2" s="1"/>
  <c r="O787" i="2"/>
  <c r="I143" i="2"/>
  <c r="I248" i="2"/>
  <c r="N331" i="2"/>
  <c r="P333" i="2"/>
  <c r="N351" i="2"/>
  <c r="O351" i="2" s="1"/>
  <c r="P353" i="2"/>
  <c r="N391" i="2"/>
  <c r="N389" i="2" s="1"/>
  <c r="O445" i="2"/>
  <c r="O545" i="2"/>
  <c r="M786" i="2"/>
  <c r="P786" i="2" s="1"/>
  <c r="O424" i="2"/>
  <c r="I442" i="2"/>
  <c r="K442" i="2" s="1"/>
  <c r="P503" i="2"/>
  <c r="M545" i="2"/>
  <c r="K576" i="2"/>
  <c r="O630" i="2"/>
  <c r="J433" i="2"/>
  <c r="N470" i="2"/>
  <c r="L632" i="2"/>
  <c r="O632" i="2" s="1"/>
  <c r="L639" i="2"/>
  <c r="O639" i="2" s="1"/>
  <c r="I434" i="2"/>
  <c r="I522" i="2"/>
  <c r="N688" i="2"/>
  <c r="P46" i="1"/>
  <c r="M317" i="1"/>
  <c r="M315" i="1" s="1"/>
  <c r="L391" i="1"/>
  <c r="K104" i="1"/>
  <c r="I112" i="1"/>
  <c r="K82" i="1"/>
  <c r="M280" i="1"/>
  <c r="P280" i="1" s="1"/>
  <c r="J327" i="1"/>
  <c r="K327" i="1" s="1"/>
  <c r="M392" i="1"/>
  <c r="P392" i="1" s="1"/>
  <c r="O306" i="1"/>
  <c r="O350" i="1"/>
  <c r="L395" i="1"/>
  <c r="O395" i="1" s="1"/>
  <c r="K672" i="1"/>
  <c r="M279" i="1"/>
  <c r="M277" i="1" s="1"/>
  <c r="M421" i="1"/>
  <c r="M419" i="1" s="1"/>
  <c r="I434" i="1"/>
  <c r="I418" i="1" s="1"/>
  <c r="L23" i="1"/>
  <c r="M321" i="1"/>
  <c r="P321" i="1" s="1"/>
  <c r="K374" i="1"/>
  <c r="L72" i="1"/>
  <c r="O72" i="1" s="1"/>
  <c r="P74" i="1"/>
  <c r="K116" i="1"/>
  <c r="I77" i="1"/>
  <c r="I65" i="1" s="1"/>
  <c r="M91" i="1"/>
  <c r="K103" i="1"/>
  <c r="K114" i="1"/>
  <c r="K118" i="1"/>
  <c r="P154" i="1"/>
  <c r="O170" i="1"/>
  <c r="L229" i="1"/>
  <c r="L230" i="1"/>
  <c r="O269" i="1"/>
  <c r="M404" i="1"/>
  <c r="P404" i="1" s="1"/>
  <c r="L55" i="1"/>
  <c r="L53" i="1" s="1"/>
  <c r="N209" i="1"/>
  <c r="L56" i="1"/>
  <c r="K78" i="1"/>
  <c r="K81" i="1"/>
  <c r="K111" i="1"/>
  <c r="K290" i="1"/>
  <c r="K492" i="1"/>
  <c r="K498" i="1"/>
  <c r="N549" i="1"/>
  <c r="P549" i="1" s="1"/>
  <c r="J583" i="1"/>
  <c r="J577" i="1" s="1"/>
  <c r="K577" i="1" s="1"/>
  <c r="K647" i="1"/>
  <c r="K674" i="1"/>
  <c r="K193" i="1"/>
  <c r="M171" i="1"/>
  <c r="P171" i="1" s="1"/>
  <c r="I216" i="1"/>
  <c r="K216" i="1" s="1"/>
  <c r="J235" i="1"/>
  <c r="K258" i="1"/>
  <c r="O285" i="1"/>
  <c r="K355" i="1"/>
  <c r="K362" i="1"/>
  <c r="M405" i="1"/>
  <c r="P405" i="1" s="1"/>
  <c r="J434" i="1"/>
  <c r="M446" i="1"/>
  <c r="M444" i="1" s="1"/>
  <c r="M33" i="1"/>
  <c r="M31" i="1" s="1"/>
  <c r="K487" i="1"/>
  <c r="M525" i="1"/>
  <c r="M523" i="1" s="1"/>
  <c r="N44" i="1"/>
  <c r="J76" i="1"/>
  <c r="J64" i="1" s="1"/>
  <c r="J112" i="1"/>
  <c r="O140" i="1"/>
  <c r="M151" i="1"/>
  <c r="N167" i="1"/>
  <c r="N165" i="1" s="1"/>
  <c r="K225" i="1"/>
  <c r="K260" i="1"/>
  <c r="K312" i="1"/>
  <c r="K372" i="1"/>
  <c r="P407" i="1"/>
  <c r="P410" i="1"/>
  <c r="J596" i="1"/>
  <c r="M168" i="1"/>
  <c r="P168" i="1" s="1"/>
  <c r="J99" i="1"/>
  <c r="J87" i="1" s="1"/>
  <c r="K87" i="1" s="1"/>
  <c r="O46" i="1"/>
  <c r="O58" i="1"/>
  <c r="J77" i="1"/>
  <c r="J65" i="1" s="1"/>
  <c r="K84" i="1"/>
  <c r="N151" i="1"/>
  <c r="N149" i="1" s="1"/>
  <c r="M155" i="1"/>
  <c r="P155" i="1" s="1"/>
  <c r="O157" i="1"/>
  <c r="O168" i="1"/>
  <c r="M183" i="1"/>
  <c r="I197" i="1"/>
  <c r="K197" i="1" s="1"/>
  <c r="K291" i="1"/>
  <c r="P301" i="1"/>
  <c r="K310" i="1"/>
  <c r="N528" i="1"/>
  <c r="N525" i="1" s="1"/>
  <c r="N523" i="1" s="1"/>
  <c r="J675" i="1"/>
  <c r="J669" i="1" s="1"/>
  <c r="K669" i="1" s="1"/>
  <c r="K700" i="1"/>
  <c r="J701" i="1"/>
  <c r="K701" i="1" s="1"/>
  <c r="K823" i="1"/>
  <c r="K542" i="1"/>
  <c r="L632" i="1"/>
  <c r="K649" i="1"/>
  <c r="M687" i="1"/>
  <c r="M685" i="1" s="1"/>
  <c r="K726" i="1"/>
  <c r="K109" i="1"/>
  <c r="N138" i="1"/>
  <c r="P138" i="1" s="1"/>
  <c r="K244" i="1"/>
  <c r="N279" i="1"/>
  <c r="N277" i="1" s="1"/>
  <c r="P303" i="1"/>
  <c r="P333" i="1"/>
  <c r="J364" i="1"/>
  <c r="L404" i="1"/>
  <c r="O404" i="1" s="1"/>
  <c r="K440" i="1"/>
  <c r="L33" i="1"/>
  <c r="J603" i="1"/>
  <c r="K723" i="1"/>
  <c r="K824" i="1"/>
  <c r="K827" i="1"/>
  <c r="M267" i="1"/>
  <c r="P267" i="1" s="1"/>
  <c r="L347" i="1"/>
  <c r="L345" i="1" s="1"/>
  <c r="K145" i="1"/>
  <c r="I143" i="1"/>
  <c r="K159" i="1"/>
  <c r="I148" i="1"/>
  <c r="K148" i="1" s="1"/>
  <c r="N90" i="1"/>
  <c r="N88" i="1" s="1"/>
  <c r="N91" i="1"/>
  <c r="O96" i="1"/>
  <c r="L94" i="1"/>
  <c r="O94" i="1" s="1"/>
  <c r="O331" i="1"/>
  <c r="M55" i="1"/>
  <c r="M53" i="1" s="1"/>
  <c r="L68" i="1"/>
  <c r="L238" i="1"/>
  <c r="P285" i="1"/>
  <c r="K294" i="1"/>
  <c r="M304" i="1"/>
  <c r="P304" i="1" s="1"/>
  <c r="O323" i="1"/>
  <c r="M331" i="1"/>
  <c r="P331" i="1" s="1"/>
  <c r="K360" i="1"/>
  <c r="K379" i="1"/>
  <c r="M391" i="1"/>
  <c r="P391" i="1" s="1"/>
  <c r="L408" i="1"/>
  <c r="O408" i="1" s="1"/>
  <c r="J466" i="1"/>
  <c r="K466" i="1" s="1"/>
  <c r="K643" i="1"/>
  <c r="N690" i="1"/>
  <c r="P690" i="1" s="1"/>
  <c r="J721" i="1"/>
  <c r="K721" i="1" s="1"/>
  <c r="M395" i="1"/>
  <c r="P395" i="1" s="1"/>
  <c r="K443" i="1"/>
  <c r="N26" i="1"/>
  <c r="N16" i="1" s="1"/>
  <c r="N14" i="1" s="1"/>
  <c r="O61" i="1"/>
  <c r="O71" i="1"/>
  <c r="I76" i="1"/>
  <c r="I64" i="1" s="1"/>
  <c r="L121" i="1"/>
  <c r="L119" i="1" s="1"/>
  <c r="L134" i="1"/>
  <c r="L132" i="1" s="1"/>
  <c r="O137" i="1"/>
  <c r="P170" i="1"/>
  <c r="M187" i="1"/>
  <c r="P187" i="1" s="1"/>
  <c r="P189" i="1"/>
  <c r="L217" i="1"/>
  <c r="I233" i="1"/>
  <c r="K247" i="1"/>
  <c r="N249" i="1"/>
  <c r="K255" i="1"/>
  <c r="M263" i="1"/>
  <c r="O264" i="1"/>
  <c r="K271" i="1"/>
  <c r="M300" i="1"/>
  <c r="O320" i="1"/>
  <c r="K369" i="1"/>
  <c r="L447" i="1"/>
  <c r="M469" i="1"/>
  <c r="M467" i="1" s="1"/>
  <c r="K495" i="1"/>
  <c r="J560" i="1"/>
  <c r="K560" i="1" s="1"/>
  <c r="J621" i="1"/>
  <c r="K621" i="1" s="1"/>
  <c r="K670" i="1"/>
  <c r="N47" i="1"/>
  <c r="N56" i="1"/>
  <c r="N68" i="1"/>
  <c r="N59" i="1"/>
  <c r="O59" i="1" s="1"/>
  <c r="L90" i="1"/>
  <c r="L88" i="1" s="1"/>
  <c r="N121" i="1"/>
  <c r="N134" i="1"/>
  <c r="N132" i="1" s="1"/>
  <c r="M152" i="1"/>
  <c r="P152" i="1" s="1"/>
  <c r="K190" i="1"/>
  <c r="L198" i="1"/>
  <c r="K257" i="1"/>
  <c r="N263" i="1"/>
  <c r="N261" i="1" s="1"/>
  <c r="N300" i="1"/>
  <c r="N298" i="1" s="1"/>
  <c r="K311" i="1"/>
  <c r="K325" i="1"/>
  <c r="K338" i="1"/>
  <c r="K365" i="1"/>
  <c r="K385" i="1"/>
  <c r="L392" i="1"/>
  <c r="O392" i="1" s="1"/>
  <c r="O410" i="1"/>
  <c r="I433" i="1"/>
  <c r="K438" i="1"/>
  <c r="K460" i="1"/>
  <c r="K644" i="1"/>
  <c r="O186" i="1"/>
  <c r="N238" i="1"/>
  <c r="N424" i="1"/>
  <c r="O424" i="1" s="1"/>
  <c r="J568" i="1"/>
  <c r="K568" i="1" s="1"/>
  <c r="J582" i="1"/>
  <c r="J576" i="1" s="1"/>
  <c r="J559" i="1" s="1"/>
  <c r="J543" i="1" s="1"/>
  <c r="J604" i="1"/>
  <c r="L657" i="1"/>
  <c r="L655" i="1" s="1"/>
  <c r="K671" i="1"/>
  <c r="N198" i="1"/>
  <c r="O69" i="1"/>
  <c r="O135" i="1"/>
  <c r="N43" i="1"/>
  <c r="N41" i="1" s="1"/>
  <c r="P71" i="1"/>
  <c r="P93" i="1"/>
  <c r="N125" i="1"/>
  <c r="O125" i="1" s="1"/>
  <c r="P127" i="1"/>
  <c r="L138" i="1"/>
  <c r="K144" i="1"/>
  <c r="O191" i="1"/>
  <c r="L209" i="1"/>
  <c r="K214" i="1"/>
  <c r="N217" i="1"/>
  <c r="J237" i="1"/>
  <c r="K237" i="1" s="1"/>
  <c r="L249" i="1"/>
  <c r="M264" i="1"/>
  <c r="P264" i="1" s="1"/>
  <c r="K275" i="1"/>
  <c r="K288" i="1"/>
  <c r="M330" i="1"/>
  <c r="M328" i="1" s="1"/>
  <c r="O333" i="1"/>
  <c r="K340" i="1"/>
  <c r="L348" i="1"/>
  <c r="O348" i="1" s="1"/>
  <c r="K378" i="1"/>
  <c r="L446" i="1"/>
  <c r="L444" i="1" s="1"/>
  <c r="K462" i="1"/>
  <c r="K483" i="1"/>
  <c r="K538" i="1"/>
  <c r="K541" i="1"/>
  <c r="J595" i="1"/>
  <c r="J620" i="1"/>
  <c r="K620" i="1" s="1"/>
  <c r="M631" i="1"/>
  <c r="M629" i="1" s="1"/>
  <c r="N660" i="1"/>
  <c r="N658" i="1" s="1"/>
  <c r="O658" i="1" s="1"/>
  <c r="K673" i="1"/>
  <c r="M788" i="1"/>
  <c r="N791" i="1"/>
  <c r="N789" i="1" s="1"/>
  <c r="K826" i="1"/>
  <c r="L171" i="1"/>
  <c r="O171" i="1" s="1"/>
  <c r="O173" i="1"/>
  <c r="L26" i="1"/>
  <c r="L24" i="1" s="1"/>
  <c r="N12" i="1"/>
  <c r="L167" i="1"/>
  <c r="L301" i="1"/>
  <c r="O301" i="1" s="1"/>
  <c r="O303" i="1"/>
  <c r="L300" i="1"/>
  <c r="M122" i="1"/>
  <c r="P122" i="1" s="1"/>
  <c r="M121" i="1"/>
  <c r="P124" i="1"/>
  <c r="O29" i="1"/>
  <c r="M26" i="1"/>
  <c r="P182" i="1"/>
  <c r="M23" i="1"/>
  <c r="M56" i="1"/>
  <c r="P58" i="1"/>
  <c r="J86" i="1"/>
  <c r="K86" i="1" s="1"/>
  <c r="K98" i="1"/>
  <c r="O120" i="1"/>
  <c r="M135" i="1"/>
  <c r="P135" i="1" s="1"/>
  <c r="M134" i="1"/>
  <c r="P137" i="1"/>
  <c r="L231" i="1"/>
  <c r="P445" i="1"/>
  <c r="O15" i="1"/>
  <c r="L280" i="1"/>
  <c r="O280" i="1" s="1"/>
  <c r="O282" i="1"/>
  <c r="L279" i="1"/>
  <c r="I559" i="1"/>
  <c r="M59" i="1"/>
  <c r="P61" i="1"/>
  <c r="L12" i="1"/>
  <c r="O22" i="1"/>
  <c r="L19" i="1"/>
  <c r="O54" i="1"/>
  <c r="M94" i="1"/>
  <c r="P94" i="1" s="1"/>
  <c r="P96" i="1"/>
  <c r="J130" i="1"/>
  <c r="K130" i="1" s="1"/>
  <c r="K146" i="1"/>
  <c r="K276" i="1"/>
  <c r="L525" i="1"/>
  <c r="O535" i="1"/>
  <c r="L533" i="1"/>
  <c r="O533" i="1" s="1"/>
  <c r="N55" i="1"/>
  <c r="N23" i="1"/>
  <c r="N21" i="1" s="1"/>
  <c r="P32" i="1"/>
  <c r="M44" i="1"/>
  <c r="M47" i="1"/>
  <c r="P47" i="1" s="1"/>
  <c r="M69" i="1"/>
  <c r="P69" i="1" s="1"/>
  <c r="P89" i="1"/>
  <c r="O152" i="1"/>
  <c r="P186" i="1"/>
  <c r="N184" i="1"/>
  <c r="J194" i="1"/>
  <c r="L228" i="1"/>
  <c r="K248" i="1"/>
  <c r="K287" i="1"/>
  <c r="N405" i="1"/>
  <c r="N404" i="1"/>
  <c r="N402" i="1" s="1"/>
  <c r="M34" i="1"/>
  <c r="P34" i="1" s="1"/>
  <c r="M43" i="1"/>
  <c r="J236" i="1"/>
  <c r="I226" i="1"/>
  <c r="K309" i="1"/>
  <c r="I297" i="1"/>
  <c r="K297" i="1" s="1"/>
  <c r="K215" i="1"/>
  <c r="I208" i="1"/>
  <c r="K208" i="1" s="1"/>
  <c r="L263" i="1"/>
  <c r="O266" i="1"/>
  <c r="N334" i="1"/>
  <c r="O334" i="1" s="1"/>
  <c r="N330" i="1"/>
  <c r="N328" i="1" s="1"/>
  <c r="K400" i="1"/>
  <c r="I388" i="1"/>
  <c r="K388" i="1" s="1"/>
  <c r="M470" i="1"/>
  <c r="P503" i="1"/>
  <c r="N634" i="1"/>
  <c r="P634" i="1" s="1"/>
  <c r="M658" i="1"/>
  <c r="M657" i="1"/>
  <c r="M12" i="1"/>
  <c r="M19" i="1"/>
  <c r="L151" i="1"/>
  <c r="O154" i="1"/>
  <c r="I164" i="1"/>
  <c r="K164" i="1" s="1"/>
  <c r="K174" i="1"/>
  <c r="N229" i="1"/>
  <c r="J233" i="1"/>
  <c r="K246" i="1"/>
  <c r="N318" i="1"/>
  <c r="O318" i="1" s="1"/>
  <c r="P320" i="1"/>
  <c r="N317" i="1"/>
  <c r="N391" i="1"/>
  <c r="N389" i="1" s="1"/>
  <c r="M545" i="1"/>
  <c r="J569" i="1"/>
  <c r="K569" i="1" s="1"/>
  <c r="N772" i="1"/>
  <c r="N770" i="1" s="1"/>
  <c r="N773" i="1"/>
  <c r="O93" i="1"/>
  <c r="K314" i="1"/>
  <c r="L317" i="1"/>
  <c r="L477" i="1"/>
  <c r="O477" i="1" s="1"/>
  <c r="L469" i="1"/>
  <c r="L467" i="1" s="1"/>
  <c r="O479" i="1"/>
  <c r="J465" i="1"/>
  <c r="K465" i="1" s="1"/>
  <c r="K489" i="1"/>
  <c r="I522" i="1"/>
  <c r="K522" i="1" s="1"/>
  <c r="K537" i="1"/>
  <c r="K725" i="1"/>
  <c r="J722" i="1"/>
  <c r="K722" i="1" s="1"/>
  <c r="N754" i="1"/>
  <c r="N756" i="1"/>
  <c r="N757" i="1"/>
  <c r="N737" i="1"/>
  <c r="N739" i="1"/>
  <c r="N740" i="1"/>
  <c r="K176" i="1"/>
  <c r="P329" i="1"/>
  <c r="O336" i="1"/>
  <c r="N347" i="1"/>
  <c r="N345" i="1" s="1"/>
  <c r="P348" i="1"/>
  <c r="O353" i="1"/>
  <c r="I364" i="1"/>
  <c r="P403" i="1"/>
  <c r="L421" i="1"/>
  <c r="P630" i="1"/>
  <c r="L330" i="1"/>
  <c r="P336" i="1"/>
  <c r="P351" i="1"/>
  <c r="K359" i="1"/>
  <c r="K370" i="1"/>
  <c r="I442" i="1"/>
  <c r="K442" i="1" s="1"/>
  <c r="N472" i="1"/>
  <c r="P472" i="1" s="1"/>
  <c r="O524" i="1"/>
  <c r="L555" i="1"/>
  <c r="O555" i="1" s="1"/>
  <c r="O557" i="1"/>
  <c r="L546" i="1"/>
  <c r="J561" i="1"/>
  <c r="K561" i="1" s="1"/>
  <c r="K651" i="1"/>
  <c r="J628" i="1"/>
  <c r="K628" i="1" s="1"/>
  <c r="L685" i="1"/>
  <c r="O772" i="1"/>
  <c r="L454" i="1"/>
  <c r="O454" i="1" s="1"/>
  <c r="L470" i="1"/>
  <c r="K801" i="1"/>
  <c r="P350" i="1"/>
  <c r="P353" i="1"/>
  <c r="L688" i="1"/>
  <c r="L805" i="1"/>
  <c r="O805" i="1" s="1"/>
  <c r="L444" i="4" l="1"/>
  <c r="O444" i="4" s="1"/>
  <c r="L165" i="8"/>
  <c r="O165" i="8" s="1"/>
  <c r="M389" i="8"/>
  <c r="P389" i="8" s="1"/>
  <c r="M132" i="9"/>
  <c r="P132" i="9" s="1"/>
  <c r="P549" i="9"/>
  <c r="P53" i="3"/>
  <c r="P90" i="7"/>
  <c r="P55" i="9"/>
  <c r="L402" i="9"/>
  <c r="O402" i="9" s="1"/>
  <c r="O263" i="2"/>
  <c r="I543" i="5"/>
  <c r="K543" i="5" s="1"/>
  <c r="P43" i="9"/>
  <c r="K434" i="10"/>
  <c r="L119" i="10"/>
  <c r="O119" i="10" s="1"/>
  <c r="O167" i="9"/>
  <c r="L315" i="9"/>
  <c r="O315" i="9" s="1"/>
  <c r="P43" i="10"/>
  <c r="M547" i="9"/>
  <c r="P547" i="9" s="1"/>
  <c r="O331" i="9"/>
  <c r="K559" i="8"/>
  <c r="K275" i="4"/>
  <c r="L298" i="9"/>
  <c r="O298" i="9" s="1"/>
  <c r="L629" i="9"/>
  <c r="O629" i="9" s="1"/>
  <c r="K417" i="10"/>
  <c r="P301" i="2"/>
  <c r="O55" i="9"/>
  <c r="P90" i="3"/>
  <c r="O43" i="10"/>
  <c r="P44" i="10"/>
  <c r="M315" i="10"/>
  <c r="P315" i="10" s="1"/>
  <c r="P549" i="8"/>
  <c r="L786" i="9"/>
  <c r="O786" i="9" s="1"/>
  <c r="M315" i="6"/>
  <c r="P315" i="6" s="1"/>
  <c r="K433" i="5"/>
  <c r="O330" i="9"/>
  <c r="O167" i="10"/>
  <c r="O328" i="10"/>
  <c r="O391" i="10"/>
  <c r="P263" i="10"/>
  <c r="M298" i="10"/>
  <c r="P298" i="10" s="1"/>
  <c r="P328" i="10"/>
  <c r="O347" i="9"/>
  <c r="P330" i="10"/>
  <c r="L66" i="9"/>
  <c r="O66" i="9" s="1"/>
  <c r="O41" i="10"/>
  <c r="O263" i="10"/>
  <c r="L685" i="10"/>
  <c r="O685" i="10" s="1"/>
  <c r="O264" i="10"/>
  <c r="P121" i="10"/>
  <c r="M119" i="10"/>
  <c r="P119" i="10" s="1"/>
  <c r="P183" i="1"/>
  <c r="M132" i="10"/>
  <c r="P132" i="10" s="1"/>
  <c r="L402" i="10"/>
  <c r="O402" i="10" s="1"/>
  <c r="L419" i="10"/>
  <c r="O419" i="10" s="1"/>
  <c r="K364" i="7"/>
  <c r="L34" i="8"/>
  <c r="O34" i="8" s="1"/>
  <c r="O90" i="10"/>
  <c r="L149" i="10"/>
  <c r="O149" i="10" s="1"/>
  <c r="M277" i="10"/>
  <c r="P277" i="10" s="1"/>
  <c r="P264" i="10"/>
  <c r="K559" i="9"/>
  <c r="O330" i="10"/>
  <c r="P90" i="8"/>
  <c r="P181" i="8"/>
  <c r="P90" i="9"/>
  <c r="O300" i="10"/>
  <c r="O631" i="5"/>
  <c r="K76" i="8"/>
  <c r="M421" i="9"/>
  <c r="P421" i="9" s="1"/>
  <c r="M41" i="10"/>
  <c r="P41" i="10" s="1"/>
  <c r="M261" i="10"/>
  <c r="P261" i="10" s="1"/>
  <c r="L261" i="10"/>
  <c r="O261" i="10" s="1"/>
  <c r="M88" i="8"/>
  <c r="P88" i="8" s="1"/>
  <c r="M402" i="10"/>
  <c r="P402" i="10" s="1"/>
  <c r="O183" i="10"/>
  <c r="M132" i="7"/>
  <c r="P132" i="7" s="1"/>
  <c r="M422" i="8"/>
  <c r="P422" i="8" s="1"/>
  <c r="O90" i="8"/>
  <c r="P263" i="9"/>
  <c r="M119" i="5"/>
  <c r="P119" i="5" s="1"/>
  <c r="K364" i="6"/>
  <c r="O43" i="6"/>
  <c r="L467" i="7"/>
  <c r="O467" i="7" s="1"/>
  <c r="O55" i="7"/>
  <c r="O525" i="8"/>
  <c r="M422" i="9"/>
  <c r="P422" i="9" s="1"/>
  <c r="L544" i="10"/>
  <c r="O544" i="10" s="1"/>
  <c r="I65" i="10"/>
  <c r="K65" i="10" s="1"/>
  <c r="M444" i="8"/>
  <c r="P444" i="8" s="1"/>
  <c r="M546" i="8"/>
  <c r="P546" i="8" s="1"/>
  <c r="P279" i="8"/>
  <c r="L132" i="9"/>
  <c r="O132" i="9" s="1"/>
  <c r="O687" i="9"/>
  <c r="O165" i="9"/>
  <c r="K433" i="10"/>
  <c r="L227" i="10"/>
  <c r="O55" i="10"/>
  <c r="P264" i="9"/>
  <c r="M149" i="9"/>
  <c r="P149" i="9" s="1"/>
  <c r="O53" i="10"/>
  <c r="K559" i="10"/>
  <c r="P41" i="8"/>
  <c r="O277" i="8"/>
  <c r="N181" i="10"/>
  <c r="O181" i="10" s="1"/>
  <c r="O167" i="7"/>
  <c r="M277" i="9"/>
  <c r="P277" i="9" s="1"/>
  <c r="L277" i="10"/>
  <c r="O277" i="10" s="1"/>
  <c r="M389" i="6"/>
  <c r="P389" i="6" s="1"/>
  <c r="M298" i="7"/>
  <c r="P298" i="7" s="1"/>
  <c r="O165" i="7"/>
  <c r="O181" i="8"/>
  <c r="L132" i="10"/>
  <c r="O132" i="10" s="1"/>
  <c r="P151" i="10"/>
  <c r="M149" i="10"/>
  <c r="P149" i="10" s="1"/>
  <c r="O88" i="7"/>
  <c r="P298" i="8"/>
  <c r="P183" i="8"/>
  <c r="O348" i="9"/>
  <c r="P23" i="9"/>
  <c r="L444" i="10"/>
  <c r="O444" i="10" s="1"/>
  <c r="P55" i="10"/>
  <c r="M53" i="10"/>
  <c r="P53" i="10" s="1"/>
  <c r="L544" i="2"/>
  <c r="O544" i="2" s="1"/>
  <c r="L786" i="4"/>
  <c r="O786" i="4" s="1"/>
  <c r="P300" i="5"/>
  <c r="L119" i="6"/>
  <c r="O119" i="6" s="1"/>
  <c r="M657" i="8"/>
  <c r="P657" i="8" s="1"/>
  <c r="M132" i="8"/>
  <c r="P132" i="8" s="1"/>
  <c r="M119" i="9"/>
  <c r="P119" i="9" s="1"/>
  <c r="P331" i="10"/>
  <c r="N16" i="10"/>
  <c r="N14" i="10" s="1"/>
  <c r="N24" i="10"/>
  <c r="O24" i="10" s="1"/>
  <c r="I65" i="9"/>
  <c r="K65" i="9" s="1"/>
  <c r="P549" i="10"/>
  <c r="M546" i="10"/>
  <c r="M389" i="4"/>
  <c r="P389" i="4" s="1"/>
  <c r="P134" i="5"/>
  <c r="K364" i="8"/>
  <c r="O279" i="8"/>
  <c r="N345" i="9"/>
  <c r="O345" i="9" s="1"/>
  <c r="O43" i="9"/>
  <c r="L786" i="10"/>
  <c r="O786" i="10" s="1"/>
  <c r="L298" i="7"/>
  <c r="O298" i="7" s="1"/>
  <c r="O90" i="7"/>
  <c r="O183" i="9"/>
  <c r="O33" i="9"/>
  <c r="M66" i="10"/>
  <c r="P66" i="10" s="1"/>
  <c r="L66" i="10"/>
  <c r="O66" i="10" s="1"/>
  <c r="K76" i="10"/>
  <c r="I64" i="10"/>
  <c r="K64" i="10" s="1"/>
  <c r="P165" i="7"/>
  <c r="M402" i="8"/>
  <c r="P402" i="8" s="1"/>
  <c r="K77" i="8"/>
  <c r="M66" i="8"/>
  <c r="P66" i="8" s="1"/>
  <c r="L523" i="9"/>
  <c r="O523" i="9" s="1"/>
  <c r="N24" i="9"/>
  <c r="O24" i="9" s="1"/>
  <c r="L629" i="10"/>
  <c r="O629" i="10" s="1"/>
  <c r="P391" i="10"/>
  <c r="M389" i="10"/>
  <c r="P389" i="10" s="1"/>
  <c r="O56" i="10"/>
  <c r="P167" i="10"/>
  <c r="P90" i="10"/>
  <c r="O19" i="10"/>
  <c r="M24" i="10"/>
  <c r="P26" i="10"/>
  <c r="M16" i="10"/>
  <c r="P183" i="10"/>
  <c r="M687" i="10"/>
  <c r="M688" i="10"/>
  <c r="P688" i="10" s="1"/>
  <c r="P690" i="10"/>
  <c r="I226" i="10"/>
  <c r="M9" i="10"/>
  <c r="P12" i="10"/>
  <c r="O317" i="10"/>
  <c r="L315" i="10"/>
  <c r="O36" i="10"/>
  <c r="L34" i="10"/>
  <c r="O34" i="10" s="1"/>
  <c r="O26" i="10"/>
  <c r="L16" i="10"/>
  <c r="M315" i="9"/>
  <c r="P315" i="9" s="1"/>
  <c r="P19" i="10"/>
  <c r="O29" i="10"/>
  <c r="L523" i="10"/>
  <c r="O523" i="10" s="1"/>
  <c r="P449" i="10"/>
  <c r="M446" i="10"/>
  <c r="M447" i="10"/>
  <c r="P447" i="10" s="1"/>
  <c r="M33" i="10"/>
  <c r="M13" i="10" s="1"/>
  <c r="N31" i="10"/>
  <c r="N30" i="10"/>
  <c r="N28" i="10" s="1"/>
  <c r="N165" i="10"/>
  <c r="O347" i="10"/>
  <c r="L345" i="10"/>
  <c r="O345" i="10" s="1"/>
  <c r="N20" i="10"/>
  <c r="N18" i="10" s="1"/>
  <c r="N13" i="10"/>
  <c r="O12" i="10"/>
  <c r="L9" i="10"/>
  <c r="P183" i="9"/>
  <c r="P347" i="10"/>
  <c r="M345" i="10"/>
  <c r="P345" i="10" s="1"/>
  <c r="L30" i="10"/>
  <c r="O30" i="10" s="1"/>
  <c r="N414" i="10"/>
  <c r="N88" i="10"/>
  <c r="O31" i="10"/>
  <c r="N21" i="10"/>
  <c r="P21" i="10" s="1"/>
  <c r="I131" i="10"/>
  <c r="K131" i="10" s="1"/>
  <c r="K143" i="10"/>
  <c r="O33" i="10"/>
  <c r="L467" i="10"/>
  <c r="O467" i="10" s="1"/>
  <c r="O23" i="10"/>
  <c r="L20" i="10"/>
  <c r="L13" i="10"/>
  <c r="L21" i="10"/>
  <c r="P23" i="10"/>
  <c r="M20" i="10"/>
  <c r="M18" i="10" s="1"/>
  <c r="N9" i="10"/>
  <c r="P660" i="8"/>
  <c r="M165" i="8"/>
  <c r="P165" i="8" s="1"/>
  <c r="O168" i="9"/>
  <c r="K417" i="6"/>
  <c r="O55" i="8"/>
  <c r="M66" i="9"/>
  <c r="P66" i="9" s="1"/>
  <c r="M389" i="9"/>
  <c r="P389" i="9" s="1"/>
  <c r="P56" i="9"/>
  <c r="O168" i="7"/>
  <c r="K434" i="8"/>
  <c r="P43" i="8"/>
  <c r="K433" i="9"/>
  <c r="L544" i="9"/>
  <c r="O544" i="9" s="1"/>
  <c r="P330" i="4"/>
  <c r="K433" i="6"/>
  <c r="O55" i="6"/>
  <c r="M20" i="9"/>
  <c r="M18" i="9" s="1"/>
  <c r="P348" i="9"/>
  <c r="P424" i="8"/>
  <c r="L444" i="8"/>
  <c r="O444" i="8" s="1"/>
  <c r="K434" i="9"/>
  <c r="L53" i="9"/>
  <c r="O53" i="9" s="1"/>
  <c r="O391" i="9"/>
  <c r="L389" i="9"/>
  <c r="O389" i="9" s="1"/>
  <c r="O421" i="6"/>
  <c r="L132" i="8"/>
  <c r="O132" i="8" s="1"/>
  <c r="L419" i="9"/>
  <c r="O419" i="9" s="1"/>
  <c r="L444" i="6"/>
  <c r="O444" i="6" s="1"/>
  <c r="M33" i="8"/>
  <c r="M31" i="8" s="1"/>
  <c r="P31" i="8" s="1"/>
  <c r="P347" i="8"/>
  <c r="O279" i="9"/>
  <c r="L277" i="9"/>
  <c r="O277" i="9" s="1"/>
  <c r="O348" i="8"/>
  <c r="P331" i="9"/>
  <c r="I64" i="9"/>
  <c r="K64" i="9" s="1"/>
  <c r="M41" i="9"/>
  <c r="P41" i="9" s="1"/>
  <c r="M687" i="9"/>
  <c r="P690" i="9"/>
  <c r="M688" i="9"/>
  <c r="P688" i="9" s="1"/>
  <c r="M33" i="9"/>
  <c r="O26" i="9"/>
  <c r="P472" i="7"/>
  <c r="O43" i="7"/>
  <c r="L88" i="8"/>
  <c r="O88" i="8" s="1"/>
  <c r="P404" i="9"/>
  <c r="M402" i="9"/>
  <c r="P402" i="9" s="1"/>
  <c r="I226" i="9"/>
  <c r="K237" i="9"/>
  <c r="L9" i="9"/>
  <c r="O15" i="9"/>
  <c r="N20" i="9"/>
  <c r="N18" i="9" s="1"/>
  <c r="N13" i="9"/>
  <c r="N10" i="9" s="1"/>
  <c r="N21" i="9"/>
  <c r="P21" i="9" s="1"/>
  <c r="P15" i="9"/>
  <c r="N88" i="9"/>
  <c r="I131" i="6"/>
  <c r="K131" i="6" s="1"/>
  <c r="M470" i="7"/>
  <c r="P470" i="7" s="1"/>
  <c r="P151" i="7"/>
  <c r="O263" i="7"/>
  <c r="P328" i="7"/>
  <c r="P55" i="7"/>
  <c r="L467" i="8"/>
  <c r="O467" i="8" s="1"/>
  <c r="O263" i="8"/>
  <c r="N24" i="8"/>
  <c r="K592" i="9"/>
  <c r="N9" i="9"/>
  <c r="O41" i="9"/>
  <c r="M9" i="9"/>
  <c r="M53" i="9"/>
  <c r="P53" i="9" s="1"/>
  <c r="P347" i="9"/>
  <c r="M345" i="9"/>
  <c r="N328" i="9"/>
  <c r="O328" i="9" s="1"/>
  <c r="N181" i="9"/>
  <c r="O90" i="9"/>
  <c r="L88" i="9"/>
  <c r="O151" i="9"/>
  <c r="L149" i="9"/>
  <c r="O149" i="9" s="1"/>
  <c r="P167" i="9"/>
  <c r="M165" i="9"/>
  <c r="P165" i="9" s="1"/>
  <c r="P168" i="4"/>
  <c r="O121" i="9"/>
  <c r="L119" i="9"/>
  <c r="O119" i="9" s="1"/>
  <c r="P330" i="9"/>
  <c r="M328" i="9"/>
  <c r="P29" i="9"/>
  <c r="M402" i="6"/>
  <c r="P402" i="6" s="1"/>
  <c r="O446" i="7"/>
  <c r="O280" i="8"/>
  <c r="O657" i="8"/>
  <c r="P263" i="8"/>
  <c r="M345" i="8"/>
  <c r="P345" i="8" s="1"/>
  <c r="N20" i="8"/>
  <c r="N18" i="8" s="1"/>
  <c r="L467" i="9"/>
  <c r="O467" i="9" s="1"/>
  <c r="O238" i="9"/>
  <c r="L227" i="9"/>
  <c r="M467" i="7"/>
  <c r="P467" i="7" s="1"/>
  <c r="L389" i="8"/>
  <c r="O389" i="8" s="1"/>
  <c r="L261" i="9"/>
  <c r="O261" i="9" s="1"/>
  <c r="O446" i="9"/>
  <c r="L444" i="9"/>
  <c r="O444" i="9" s="1"/>
  <c r="M24" i="9"/>
  <c r="M16" i="9"/>
  <c r="P16" i="9" s="1"/>
  <c r="P26" i="9"/>
  <c r="P546" i="9"/>
  <c r="M544" i="9"/>
  <c r="P544" i="9" s="1"/>
  <c r="L20" i="9"/>
  <c r="L13" i="9"/>
  <c r="O23" i="9"/>
  <c r="M298" i="9"/>
  <c r="P298" i="9" s="1"/>
  <c r="P300" i="9"/>
  <c r="L30" i="9"/>
  <c r="O36" i="9"/>
  <c r="L16" i="9"/>
  <c r="O16" i="9" s="1"/>
  <c r="M419" i="6"/>
  <c r="P419" i="6" s="1"/>
  <c r="P183" i="6"/>
  <c r="P317" i="7"/>
  <c r="O183" i="8"/>
  <c r="O263" i="3"/>
  <c r="N13" i="8"/>
  <c r="N10" i="8" s="1"/>
  <c r="O33" i="7"/>
  <c r="M149" i="8"/>
  <c r="P149" i="8" s="1"/>
  <c r="N21" i="8"/>
  <c r="P21" i="8" s="1"/>
  <c r="O53" i="7"/>
  <c r="O347" i="7"/>
  <c r="L41" i="7"/>
  <c r="O41" i="7" s="1"/>
  <c r="L402" i="8"/>
  <c r="O402" i="8" s="1"/>
  <c r="M315" i="8"/>
  <c r="P315" i="8" s="1"/>
  <c r="P317" i="8"/>
  <c r="K174" i="8"/>
  <c r="I164" i="8"/>
  <c r="K164" i="8" s="1"/>
  <c r="L444" i="2"/>
  <c r="O444" i="2" s="1"/>
  <c r="P424" i="3"/>
  <c r="O446" i="5"/>
  <c r="I164" i="5"/>
  <c r="K164" i="5" s="1"/>
  <c r="L315" i="8"/>
  <c r="O315" i="8" s="1"/>
  <c r="O317" i="8"/>
  <c r="M422" i="3"/>
  <c r="P422" i="3" s="1"/>
  <c r="O181" i="3"/>
  <c r="K654" i="4"/>
  <c r="O298" i="4"/>
  <c r="P300" i="6"/>
  <c r="L261" i="8"/>
  <c r="O261" i="8" s="1"/>
  <c r="P300" i="8"/>
  <c r="O134" i="2"/>
  <c r="L402" i="5"/>
  <c r="O402" i="5" s="1"/>
  <c r="L66" i="7"/>
  <c r="O66" i="7" s="1"/>
  <c r="O36" i="7"/>
  <c r="O300" i="8"/>
  <c r="L298" i="8"/>
  <c r="O298" i="8" s="1"/>
  <c r="P421" i="3"/>
  <c r="M53" i="7"/>
  <c r="P53" i="7" s="1"/>
  <c r="O788" i="8"/>
  <c r="L786" i="8"/>
  <c r="O786" i="8" s="1"/>
  <c r="K433" i="8"/>
  <c r="L685" i="8"/>
  <c r="O685" i="8" s="1"/>
  <c r="O687" i="8"/>
  <c r="L544" i="7"/>
  <c r="O544" i="7" s="1"/>
  <c r="N414" i="8"/>
  <c r="P331" i="8"/>
  <c r="O331" i="8"/>
  <c r="M119" i="8"/>
  <c r="P119" i="8" s="1"/>
  <c r="I226" i="8"/>
  <c r="O121" i="8"/>
  <c r="L119" i="8"/>
  <c r="O119" i="8" s="1"/>
  <c r="P12" i="8"/>
  <c r="M9" i="8"/>
  <c r="P56" i="3"/>
  <c r="P424" i="6"/>
  <c r="N53" i="6"/>
  <c r="O53" i="6" s="1"/>
  <c r="L402" i="6"/>
  <c r="O402" i="6" s="1"/>
  <c r="O151" i="6"/>
  <c r="N16" i="7"/>
  <c r="N14" i="7" s="1"/>
  <c r="L277" i="7"/>
  <c r="O277" i="7" s="1"/>
  <c r="O345" i="7"/>
  <c r="P330" i="7"/>
  <c r="O347" i="8"/>
  <c r="L345" i="8"/>
  <c r="O345" i="8" s="1"/>
  <c r="O43" i="8"/>
  <c r="L41" i="8"/>
  <c r="N30" i="8"/>
  <c r="N28" i="8" s="1"/>
  <c r="N31" i="8"/>
  <c r="M277" i="8"/>
  <c r="P277" i="8" s="1"/>
  <c r="P55" i="8"/>
  <c r="P23" i="8"/>
  <c r="M20" i="8"/>
  <c r="N53" i="8"/>
  <c r="P53" i="8" s="1"/>
  <c r="N9" i="8"/>
  <c r="L31" i="8"/>
  <c r="O31" i="8" s="1"/>
  <c r="L30" i="8"/>
  <c r="O30" i="8" s="1"/>
  <c r="O33" i="8"/>
  <c r="M261" i="8"/>
  <c r="P261" i="8" s="1"/>
  <c r="O328" i="8"/>
  <c r="O26" i="8"/>
  <c r="L16" i="8"/>
  <c r="O16" i="8" s="1"/>
  <c r="L24" i="8"/>
  <c r="O43" i="4"/>
  <c r="M422" i="6"/>
  <c r="P422" i="6" s="1"/>
  <c r="L523" i="6"/>
  <c r="O523" i="6" s="1"/>
  <c r="O149" i="6"/>
  <c r="M88" i="7"/>
  <c r="P88" i="7" s="1"/>
  <c r="L132" i="7"/>
  <c r="O132" i="7" s="1"/>
  <c r="O421" i="8"/>
  <c r="L419" i="8"/>
  <c r="P26" i="8"/>
  <c r="M16" i="8"/>
  <c r="M24" i="8"/>
  <c r="O15" i="8"/>
  <c r="L227" i="8"/>
  <c r="P167" i="7"/>
  <c r="O330" i="8"/>
  <c r="P29" i="8"/>
  <c r="O23" i="8"/>
  <c r="L20" i="8"/>
  <c r="L13" i="8"/>
  <c r="L11" i="8" s="1"/>
  <c r="L21" i="8"/>
  <c r="O68" i="6"/>
  <c r="M277" i="7"/>
  <c r="P277" i="7" s="1"/>
  <c r="O121" i="7"/>
  <c r="L629" i="8"/>
  <c r="O629" i="8" s="1"/>
  <c r="O631" i="8"/>
  <c r="P330" i="8"/>
  <c r="M328" i="8"/>
  <c r="P328" i="8" s="1"/>
  <c r="O19" i="8"/>
  <c r="O151" i="8"/>
  <c r="L149" i="8"/>
  <c r="O149" i="8" s="1"/>
  <c r="P121" i="7"/>
  <c r="M119" i="7"/>
  <c r="P119" i="7" s="1"/>
  <c r="P690" i="8"/>
  <c r="M687" i="8"/>
  <c r="M688" i="8"/>
  <c r="P688" i="8" s="1"/>
  <c r="P19" i="8"/>
  <c r="O544" i="8"/>
  <c r="O55" i="5"/>
  <c r="P55" i="5"/>
  <c r="L315" i="7"/>
  <c r="O315" i="7" s="1"/>
  <c r="L30" i="7"/>
  <c r="O30" i="7" s="1"/>
  <c r="M66" i="7"/>
  <c r="P66" i="7" s="1"/>
  <c r="O546" i="8"/>
  <c r="O12" i="8"/>
  <c r="L9" i="8"/>
  <c r="P421" i="8"/>
  <c r="M419" i="8"/>
  <c r="O68" i="8"/>
  <c r="L66" i="8"/>
  <c r="O66" i="8" s="1"/>
  <c r="O29" i="8"/>
  <c r="P549" i="2"/>
  <c r="M165" i="5"/>
  <c r="P165" i="5" s="1"/>
  <c r="P151" i="6"/>
  <c r="L402" i="7"/>
  <c r="O402" i="7" s="1"/>
  <c r="P347" i="7"/>
  <c r="M345" i="7"/>
  <c r="P345" i="7" s="1"/>
  <c r="P183" i="7"/>
  <c r="O330" i="6"/>
  <c r="N261" i="7"/>
  <c r="O261" i="7" s="1"/>
  <c r="O330" i="7"/>
  <c r="L328" i="7"/>
  <c r="O328" i="7" s="1"/>
  <c r="O263" i="6"/>
  <c r="L132" i="6"/>
  <c r="O132" i="6" s="1"/>
  <c r="O657" i="7"/>
  <c r="L655" i="7"/>
  <c r="O655" i="7" s="1"/>
  <c r="P68" i="5"/>
  <c r="O328" i="4"/>
  <c r="P345" i="3"/>
  <c r="P167" i="4"/>
  <c r="N14" i="5"/>
  <c r="L227" i="7"/>
  <c r="O347" i="3"/>
  <c r="P421" i="4"/>
  <c r="P347" i="5"/>
  <c r="N24" i="5"/>
  <c r="O629" i="6"/>
  <c r="K417" i="7"/>
  <c r="M389" i="7"/>
  <c r="P389" i="7" s="1"/>
  <c r="P391" i="7"/>
  <c r="O279" i="6"/>
  <c r="L277" i="6"/>
  <c r="O277" i="6" s="1"/>
  <c r="K433" i="7"/>
  <c r="O331" i="2"/>
  <c r="M422" i="4"/>
  <c r="P422" i="4" s="1"/>
  <c r="O330" i="4"/>
  <c r="P167" i="6"/>
  <c r="L328" i="6"/>
  <c r="O328" i="6" s="1"/>
  <c r="M402" i="7"/>
  <c r="P402" i="7" s="1"/>
  <c r="O391" i="7"/>
  <c r="L389" i="7"/>
  <c r="O389" i="7" s="1"/>
  <c r="P43" i="7"/>
  <c r="M41" i="7"/>
  <c r="P41" i="7" s="1"/>
  <c r="L402" i="3"/>
  <c r="O402" i="3" s="1"/>
  <c r="L419" i="4"/>
  <c r="O419" i="4" s="1"/>
  <c r="P184" i="7"/>
  <c r="K143" i="7"/>
  <c r="I131" i="7"/>
  <c r="K131" i="7" s="1"/>
  <c r="O421" i="7"/>
  <c r="L419" i="7"/>
  <c r="O419" i="7" s="1"/>
  <c r="O525" i="7"/>
  <c r="L523" i="7"/>
  <c r="O523" i="7" s="1"/>
  <c r="O300" i="6"/>
  <c r="L66" i="6"/>
  <c r="O66" i="6" s="1"/>
  <c r="N298" i="6"/>
  <c r="P298" i="6" s="1"/>
  <c r="P91" i="5"/>
  <c r="O183" i="7"/>
  <c r="N181" i="7"/>
  <c r="M181" i="7"/>
  <c r="O183" i="4"/>
  <c r="N20" i="7"/>
  <c r="N18" i="7" s="1"/>
  <c r="N13" i="7"/>
  <c r="N11" i="7" s="1"/>
  <c r="K237" i="7"/>
  <c r="I226" i="7"/>
  <c r="M546" i="7"/>
  <c r="P546" i="7" s="1"/>
  <c r="M547" i="7"/>
  <c r="P547" i="7" s="1"/>
  <c r="M33" i="7"/>
  <c r="M13" i="7" s="1"/>
  <c r="M11" i="7" s="1"/>
  <c r="P549" i="7"/>
  <c r="I65" i="7"/>
  <c r="K65" i="7" s="1"/>
  <c r="K77" i="7"/>
  <c r="M547" i="2"/>
  <c r="P547" i="2" s="1"/>
  <c r="P347" i="3"/>
  <c r="O134" i="4"/>
  <c r="K131" i="4"/>
  <c r="M446" i="5"/>
  <c r="P446" i="5" s="1"/>
  <c r="L34" i="5"/>
  <c r="O34" i="5" s="1"/>
  <c r="O29" i="7"/>
  <c r="O26" i="7"/>
  <c r="L16" i="7"/>
  <c r="L24" i="7"/>
  <c r="O24" i="7" s="1"/>
  <c r="P12" i="7"/>
  <c r="M9" i="7"/>
  <c r="P29" i="7"/>
  <c r="M402" i="2"/>
  <c r="P402" i="2" s="1"/>
  <c r="N298" i="5"/>
  <c r="O298" i="5" s="1"/>
  <c r="O317" i="5"/>
  <c r="N261" i="6"/>
  <c r="O261" i="6" s="1"/>
  <c r="O69" i="6"/>
  <c r="K434" i="7"/>
  <c r="I418" i="7"/>
  <c r="K418" i="7" s="1"/>
  <c r="O15" i="7"/>
  <c r="K174" i="7"/>
  <c r="I164" i="7"/>
  <c r="K164" i="7" s="1"/>
  <c r="O151" i="7"/>
  <c r="L149" i="7"/>
  <c r="O149" i="7" s="1"/>
  <c r="L21" i="7"/>
  <c r="O21" i="7" s="1"/>
  <c r="L13" i="7"/>
  <c r="L20" i="7"/>
  <c r="O23" i="7"/>
  <c r="N9" i="7"/>
  <c r="P26" i="7"/>
  <c r="M16" i="7"/>
  <c r="M447" i="5"/>
  <c r="P447" i="5" s="1"/>
  <c r="P43" i="6"/>
  <c r="P263" i="7"/>
  <c r="M261" i="7"/>
  <c r="O183" i="1"/>
  <c r="P183" i="2"/>
  <c r="M547" i="4"/>
  <c r="P547" i="4" s="1"/>
  <c r="P348" i="4"/>
  <c r="O348" i="4"/>
  <c r="L165" i="5"/>
  <c r="O165" i="5" s="1"/>
  <c r="P317" i="5"/>
  <c r="O41" i="5"/>
  <c r="O546" i="6"/>
  <c r="M277" i="6"/>
  <c r="P277" i="6" s="1"/>
  <c r="P634" i="7"/>
  <c r="M631" i="7"/>
  <c r="M632" i="7"/>
  <c r="P632" i="7" s="1"/>
  <c r="L9" i="7"/>
  <c r="O181" i="1"/>
  <c r="O687" i="4"/>
  <c r="L227" i="4"/>
  <c r="O280" i="4"/>
  <c r="O421" i="5"/>
  <c r="P545" i="7"/>
  <c r="P421" i="7"/>
  <c r="M419" i="7"/>
  <c r="P23" i="7"/>
  <c r="M20" i="7"/>
  <c r="M21" i="7"/>
  <c r="P21" i="7" s="1"/>
  <c r="I64" i="7"/>
  <c r="K64" i="7" s="1"/>
  <c r="K76" i="7"/>
  <c r="M24" i="7"/>
  <c r="P24" i="7" s="1"/>
  <c r="O300" i="2"/>
  <c r="L544" i="4"/>
  <c r="O544" i="4" s="1"/>
  <c r="O53" i="4"/>
  <c r="P55" i="4"/>
  <c r="M345" i="5"/>
  <c r="P345" i="5" s="1"/>
  <c r="P53" i="5"/>
  <c r="K364" i="5"/>
  <c r="O43" i="5"/>
  <c r="M632" i="5"/>
  <c r="P632" i="5" s="1"/>
  <c r="P330" i="6"/>
  <c r="N181" i="6"/>
  <c r="P181" i="6" s="1"/>
  <c r="O91" i="6"/>
  <c r="P90" i="6"/>
  <c r="N20" i="6"/>
  <c r="N18" i="6" s="1"/>
  <c r="L315" i="6"/>
  <c r="O315" i="6" s="1"/>
  <c r="O317" i="6"/>
  <c r="O318" i="2"/>
  <c r="O469" i="4"/>
  <c r="P263" i="6"/>
  <c r="N13" i="6"/>
  <c r="N11" i="6" s="1"/>
  <c r="L66" i="5"/>
  <c r="O66" i="5" s="1"/>
  <c r="O544" i="6"/>
  <c r="P165" i="6"/>
  <c r="K76" i="5"/>
  <c r="O632" i="6"/>
  <c r="O56" i="6"/>
  <c r="P91" i="6"/>
  <c r="O328" i="3"/>
  <c r="L655" i="4"/>
  <c r="O655" i="4" s="1"/>
  <c r="O301" i="4"/>
  <c r="O263" i="5"/>
  <c r="P56" i="6"/>
  <c r="O183" i="3"/>
  <c r="P181" i="3"/>
  <c r="O55" i="4"/>
  <c r="M149" i="6"/>
  <c r="P149" i="6" s="1"/>
  <c r="O347" i="6"/>
  <c r="L655" i="6"/>
  <c r="O655" i="6" s="1"/>
  <c r="P59" i="6"/>
  <c r="M66" i="6"/>
  <c r="P66" i="6" s="1"/>
  <c r="P68" i="6"/>
  <c r="O687" i="6"/>
  <c r="L685" i="6"/>
  <c r="O685" i="6" s="1"/>
  <c r="O788" i="6"/>
  <c r="L786" i="6"/>
  <c r="O786" i="6" s="1"/>
  <c r="L41" i="6"/>
  <c r="O41" i="6" s="1"/>
  <c r="I418" i="6"/>
  <c r="K418" i="6" s="1"/>
  <c r="K434" i="6"/>
  <c r="O36" i="6"/>
  <c r="L34" i="6"/>
  <c r="O34" i="6" s="1"/>
  <c r="O391" i="6"/>
  <c r="L389" i="6"/>
  <c r="O389" i="6" s="1"/>
  <c r="L786" i="5"/>
  <c r="O786" i="5" s="1"/>
  <c r="K275" i="5"/>
  <c r="M631" i="6"/>
  <c r="M632" i="6"/>
  <c r="P632" i="6" s="1"/>
  <c r="P634" i="6"/>
  <c r="M544" i="6"/>
  <c r="P544" i="6" s="1"/>
  <c r="K77" i="6"/>
  <c r="I65" i="6"/>
  <c r="K65" i="6" s="1"/>
  <c r="O90" i="6"/>
  <c r="L88" i="6"/>
  <c r="O88" i="6" s="1"/>
  <c r="O33" i="6"/>
  <c r="L30" i="6"/>
  <c r="L31" i="6"/>
  <c r="O31" i="6" s="1"/>
  <c r="O19" i="6"/>
  <c r="M277" i="3"/>
  <c r="P277" i="3" s="1"/>
  <c r="P23" i="6"/>
  <c r="M20" i="6"/>
  <c r="P9" i="6"/>
  <c r="P347" i="6"/>
  <c r="M21" i="6"/>
  <c r="P21" i="6" s="1"/>
  <c r="O183" i="6"/>
  <c r="L181" i="6"/>
  <c r="L41" i="4"/>
  <c r="O41" i="4" s="1"/>
  <c r="P280" i="4"/>
  <c r="L132" i="5"/>
  <c r="O132" i="5" s="1"/>
  <c r="O91" i="5"/>
  <c r="M687" i="6"/>
  <c r="M688" i="6"/>
  <c r="P688" i="6" s="1"/>
  <c r="P690" i="6"/>
  <c r="M328" i="6"/>
  <c r="P328" i="6" s="1"/>
  <c r="O631" i="6"/>
  <c r="M132" i="6"/>
  <c r="P132" i="6" s="1"/>
  <c r="P134" i="6"/>
  <c r="K174" i="6"/>
  <c r="I164" i="6"/>
  <c r="K164" i="6" s="1"/>
  <c r="P26" i="6"/>
  <c r="M16" i="6"/>
  <c r="O469" i="6"/>
  <c r="L467" i="6"/>
  <c r="O467" i="6" s="1"/>
  <c r="M119" i="6"/>
  <c r="P119" i="6" s="1"/>
  <c r="P121" i="6"/>
  <c r="O15" i="6"/>
  <c r="P472" i="6"/>
  <c r="M469" i="6"/>
  <c r="M33" i="6"/>
  <c r="M470" i="6"/>
  <c r="P470" i="6" s="1"/>
  <c r="M88" i="6"/>
  <c r="P88" i="6" s="1"/>
  <c r="J593" i="1"/>
  <c r="J592" i="1" s="1"/>
  <c r="K592" i="1" s="1"/>
  <c r="P660" i="6"/>
  <c r="M657" i="6"/>
  <c r="M658" i="6"/>
  <c r="P658" i="6" s="1"/>
  <c r="I64" i="6"/>
  <c r="K64" i="6" s="1"/>
  <c r="K76" i="6"/>
  <c r="N24" i="6"/>
  <c r="P24" i="6" s="1"/>
  <c r="N16" i="6"/>
  <c r="N14" i="6" s="1"/>
  <c r="M345" i="6"/>
  <c r="P345" i="6" s="1"/>
  <c r="L444" i="3"/>
  <c r="O444" i="3" s="1"/>
  <c r="L298" i="6"/>
  <c r="K237" i="6"/>
  <c r="I226" i="6"/>
  <c r="P41" i="6"/>
  <c r="O23" i="6"/>
  <c r="L20" i="6"/>
  <c r="L13" i="6"/>
  <c r="L11" i="6" s="1"/>
  <c r="L21" i="6"/>
  <c r="O21" i="6" s="1"/>
  <c r="L345" i="6"/>
  <c r="O345" i="6" s="1"/>
  <c r="L227" i="6"/>
  <c r="O238" i="6"/>
  <c r="P55" i="6"/>
  <c r="M53" i="6"/>
  <c r="O167" i="6"/>
  <c r="L165" i="6"/>
  <c r="O165" i="6" s="1"/>
  <c r="O26" i="6"/>
  <c r="L16" i="6"/>
  <c r="L24" i="6"/>
  <c r="P29" i="6"/>
  <c r="P404" i="5"/>
  <c r="M402" i="5"/>
  <c r="P402" i="5" s="1"/>
  <c r="L9" i="6"/>
  <c r="O12" i="6"/>
  <c r="P23" i="3"/>
  <c r="M53" i="4"/>
  <c r="P53" i="4" s="1"/>
  <c r="P138" i="4"/>
  <c r="M119" i="4"/>
  <c r="P119" i="4" s="1"/>
  <c r="O44" i="1"/>
  <c r="L467" i="3"/>
  <c r="O467" i="3" s="1"/>
  <c r="L149" i="3"/>
  <c r="O149" i="3" s="1"/>
  <c r="M20" i="3"/>
  <c r="M18" i="3" s="1"/>
  <c r="L389" i="4"/>
  <c r="O389" i="4" s="1"/>
  <c r="P446" i="2"/>
  <c r="O263" i="4"/>
  <c r="O422" i="5"/>
  <c r="M389" i="5"/>
  <c r="P389" i="5" s="1"/>
  <c r="M315" i="5"/>
  <c r="P315" i="5" s="1"/>
  <c r="P183" i="5"/>
  <c r="M631" i="5"/>
  <c r="M629" i="5" s="1"/>
  <c r="I418" i="5"/>
  <c r="K418" i="5" s="1"/>
  <c r="P56" i="2"/>
  <c r="M16" i="4"/>
  <c r="M14" i="4" s="1"/>
  <c r="P14" i="4" s="1"/>
  <c r="L53" i="5"/>
  <c r="O53" i="5" s="1"/>
  <c r="L227" i="5"/>
  <c r="I226" i="4"/>
  <c r="K226" i="4" s="1"/>
  <c r="O300" i="4"/>
  <c r="I164" i="4"/>
  <c r="K164" i="4" s="1"/>
  <c r="P183" i="4"/>
  <c r="L389" i="5"/>
  <c r="O389" i="5" s="1"/>
  <c r="O300" i="5"/>
  <c r="L34" i="1"/>
  <c r="O34" i="1" s="1"/>
  <c r="L30" i="1"/>
  <c r="L28" i="1" s="1"/>
  <c r="L345" i="3"/>
  <c r="O345" i="3" s="1"/>
  <c r="P549" i="4"/>
  <c r="L34" i="4"/>
  <c r="O34" i="4" s="1"/>
  <c r="L30" i="4"/>
  <c r="L28" i="4" s="1"/>
  <c r="O28" i="4" s="1"/>
  <c r="O33" i="4"/>
  <c r="L629" i="3"/>
  <c r="O629" i="3" s="1"/>
  <c r="L315" i="5"/>
  <c r="O315" i="5" s="1"/>
  <c r="L685" i="5"/>
  <c r="O685" i="5" s="1"/>
  <c r="O687" i="5"/>
  <c r="P347" i="2"/>
  <c r="N16" i="2"/>
  <c r="N14" i="2" s="1"/>
  <c r="O165" i="3"/>
  <c r="N20" i="3"/>
  <c r="N18" i="3" s="1"/>
  <c r="P167" i="3"/>
  <c r="O167" i="3"/>
  <c r="L119" i="5"/>
  <c r="O119" i="5" s="1"/>
  <c r="P90" i="2"/>
  <c r="P424" i="4"/>
  <c r="O279" i="4"/>
  <c r="L181" i="4"/>
  <c r="O181" i="4" s="1"/>
  <c r="P300" i="4"/>
  <c r="O277" i="4"/>
  <c r="P331" i="5"/>
  <c r="O33" i="5"/>
  <c r="L31" i="5"/>
  <c r="O31" i="5" s="1"/>
  <c r="L30" i="5"/>
  <c r="M447" i="2"/>
  <c r="P447" i="2" s="1"/>
  <c r="P263" i="3"/>
  <c r="P43" i="5"/>
  <c r="M41" i="5"/>
  <c r="P41" i="5" s="1"/>
  <c r="O347" i="4"/>
  <c r="I65" i="5"/>
  <c r="K65" i="5" s="1"/>
  <c r="K77" i="5"/>
  <c r="P263" i="5"/>
  <c r="P26" i="5"/>
  <c r="M16" i="5"/>
  <c r="P16" i="5" s="1"/>
  <c r="M24" i="5"/>
  <c r="N9" i="5"/>
  <c r="O345" i="4"/>
  <c r="P181" i="4"/>
  <c r="M547" i="5"/>
  <c r="P547" i="5" s="1"/>
  <c r="M546" i="5"/>
  <c r="P549" i="5"/>
  <c r="O525" i="5"/>
  <c r="P422" i="5"/>
  <c r="O19" i="5"/>
  <c r="K522" i="5"/>
  <c r="O151" i="5"/>
  <c r="L149" i="5"/>
  <c r="O149" i="5" s="1"/>
  <c r="O330" i="5"/>
  <c r="L328" i="5"/>
  <c r="O328" i="5" s="1"/>
  <c r="O90" i="5"/>
  <c r="P23" i="5"/>
  <c r="M20" i="5"/>
  <c r="O88" i="5"/>
  <c r="N422" i="1"/>
  <c r="O422" i="1" s="1"/>
  <c r="P347" i="4"/>
  <c r="M526" i="5"/>
  <c r="P526" i="5" s="1"/>
  <c r="M525" i="5"/>
  <c r="P528" i="5"/>
  <c r="P421" i="5"/>
  <c r="M419" i="5"/>
  <c r="P88" i="5"/>
  <c r="O12" i="5"/>
  <c r="L9" i="5"/>
  <c r="K537" i="5"/>
  <c r="O23" i="5"/>
  <c r="L20" i="5"/>
  <c r="L18" i="5" s="1"/>
  <c r="L13" i="5"/>
  <c r="L11" i="5" s="1"/>
  <c r="N261" i="5"/>
  <c r="O261" i="5" s="1"/>
  <c r="M469" i="5"/>
  <c r="P472" i="5"/>
  <c r="M470" i="5"/>
  <c r="P470" i="5" s="1"/>
  <c r="M33" i="5"/>
  <c r="N629" i="5"/>
  <c r="N13" i="5"/>
  <c r="N20" i="5"/>
  <c r="N18" i="5" s="1"/>
  <c r="P12" i="5"/>
  <c r="M9" i="5"/>
  <c r="M149" i="5"/>
  <c r="P149" i="5" s="1"/>
  <c r="P151" i="5"/>
  <c r="O347" i="5"/>
  <c r="L345" i="5"/>
  <c r="O345" i="5" s="1"/>
  <c r="P29" i="5"/>
  <c r="P15" i="5"/>
  <c r="M547" i="3"/>
  <c r="P547" i="3" s="1"/>
  <c r="O469" i="5"/>
  <c r="O279" i="5"/>
  <c r="P279" i="5"/>
  <c r="N277" i="5"/>
  <c r="M181" i="5"/>
  <c r="P181" i="5" s="1"/>
  <c r="L24" i="5"/>
  <c r="L16" i="5"/>
  <c r="O26" i="5"/>
  <c r="P90" i="5"/>
  <c r="O317" i="4"/>
  <c r="O132" i="4"/>
  <c r="O419" i="5"/>
  <c r="O467" i="5"/>
  <c r="N444" i="5"/>
  <c r="O444" i="5" s="1"/>
  <c r="P330" i="5"/>
  <c r="M328" i="5"/>
  <c r="P328" i="5" s="1"/>
  <c r="K237" i="5"/>
  <c r="I226" i="5"/>
  <c r="O183" i="5"/>
  <c r="L181" i="5"/>
  <c r="O181" i="5" s="1"/>
  <c r="N21" i="5"/>
  <c r="O21" i="5" s="1"/>
  <c r="O546" i="5"/>
  <c r="M467" i="4"/>
  <c r="P467" i="4" s="1"/>
  <c r="K364" i="4"/>
  <c r="L298" i="3"/>
  <c r="O298" i="3" s="1"/>
  <c r="L66" i="4"/>
  <c r="O66" i="4" s="1"/>
  <c r="P167" i="2"/>
  <c r="P318" i="2"/>
  <c r="P301" i="4"/>
  <c r="N165" i="4"/>
  <c r="P165" i="4" s="1"/>
  <c r="P264" i="4"/>
  <c r="P26" i="4"/>
  <c r="K76" i="4"/>
  <c r="K143" i="4"/>
  <c r="K365" i="4"/>
  <c r="K364" i="3"/>
  <c r="M546" i="3"/>
  <c r="P546" i="3" s="1"/>
  <c r="N21" i="3"/>
  <c r="P21" i="3" s="1"/>
  <c r="P55" i="3"/>
  <c r="M655" i="4"/>
  <c r="P655" i="4" s="1"/>
  <c r="O184" i="4"/>
  <c r="N24" i="4"/>
  <c r="P24" i="4" s="1"/>
  <c r="P68" i="4"/>
  <c r="M66" i="4"/>
  <c r="P66" i="4" s="1"/>
  <c r="O121" i="4"/>
  <c r="L119" i="4"/>
  <c r="O119" i="4" s="1"/>
  <c r="P660" i="4"/>
  <c r="N20" i="4"/>
  <c r="N18" i="4" s="1"/>
  <c r="N13" i="4"/>
  <c r="N10" i="4" s="1"/>
  <c r="P317" i="4"/>
  <c r="M315" i="4"/>
  <c r="P315" i="4" s="1"/>
  <c r="L402" i="4"/>
  <c r="O402" i="4" s="1"/>
  <c r="O404" i="4"/>
  <c r="O687" i="2"/>
  <c r="O330" i="3"/>
  <c r="M658" i="4"/>
  <c r="P658" i="4" s="1"/>
  <c r="M328" i="4"/>
  <c r="P328" i="4" s="1"/>
  <c r="P43" i="4"/>
  <c r="M41" i="4"/>
  <c r="P41" i="4" s="1"/>
  <c r="M389" i="2"/>
  <c r="P389" i="2" s="1"/>
  <c r="O88" i="2"/>
  <c r="P149" i="3"/>
  <c r="O43" i="3"/>
  <c r="P151" i="3"/>
  <c r="P279" i="4"/>
  <c r="M277" i="4"/>
  <c r="P277" i="4" s="1"/>
  <c r="M402" i="4"/>
  <c r="P402" i="4" s="1"/>
  <c r="P404" i="4"/>
  <c r="P263" i="4"/>
  <c r="N261" i="4"/>
  <c r="P15" i="4"/>
  <c r="L165" i="4"/>
  <c r="O167" i="4"/>
  <c r="L31" i="3"/>
  <c r="O31" i="3" s="1"/>
  <c r="O23" i="4"/>
  <c r="L20" i="4"/>
  <c r="L13" i="4"/>
  <c r="L11" i="4" s="1"/>
  <c r="P29" i="4"/>
  <c r="N149" i="4"/>
  <c r="P151" i="4"/>
  <c r="L655" i="3"/>
  <c r="O655" i="3" s="1"/>
  <c r="P419" i="4"/>
  <c r="M345" i="4"/>
  <c r="P345" i="4" s="1"/>
  <c r="N88" i="4"/>
  <c r="P90" i="4"/>
  <c r="M685" i="4"/>
  <c r="P685" i="4" s="1"/>
  <c r="O90" i="4"/>
  <c r="L21" i="4"/>
  <c r="O21" i="4" s="1"/>
  <c r="O168" i="4"/>
  <c r="O421" i="2"/>
  <c r="P152" i="2"/>
  <c r="M165" i="3"/>
  <c r="P165" i="3" s="1"/>
  <c r="J417" i="4"/>
  <c r="K417" i="4" s="1"/>
  <c r="K433" i="4"/>
  <c r="P545" i="4"/>
  <c r="M544" i="4"/>
  <c r="P544" i="4" s="1"/>
  <c r="P688" i="4"/>
  <c r="M446" i="4"/>
  <c r="M447" i="4"/>
  <c r="P447" i="4" s="1"/>
  <c r="P449" i="4"/>
  <c r="M33" i="4"/>
  <c r="M13" i="4" s="1"/>
  <c r="L629" i="4"/>
  <c r="O629" i="4" s="1"/>
  <c r="P23" i="4"/>
  <c r="M20" i="4"/>
  <c r="M21" i="4"/>
  <c r="P21" i="4" s="1"/>
  <c r="M9" i="4"/>
  <c r="P298" i="4"/>
  <c r="L402" i="1"/>
  <c r="O402" i="1" s="1"/>
  <c r="K364" i="2"/>
  <c r="P330" i="2"/>
  <c r="P134" i="3"/>
  <c r="K77" i="3"/>
  <c r="K434" i="4"/>
  <c r="I418" i="4"/>
  <c r="K418" i="4" s="1"/>
  <c r="O19" i="4"/>
  <c r="M132" i="4"/>
  <c r="P132" i="4" s="1"/>
  <c r="O26" i="4"/>
  <c r="L16" i="4"/>
  <c r="L24" i="4"/>
  <c r="M389" i="1"/>
  <c r="P389" i="1" s="1"/>
  <c r="M402" i="1"/>
  <c r="P402" i="1" s="1"/>
  <c r="P88" i="2"/>
  <c r="O90" i="2"/>
  <c r="L419" i="3"/>
  <c r="O419" i="3" s="1"/>
  <c r="L315" i="3"/>
  <c r="O315" i="3" s="1"/>
  <c r="O91" i="2"/>
  <c r="O12" i="4"/>
  <c r="L9" i="4"/>
  <c r="O151" i="4"/>
  <c r="L523" i="4"/>
  <c r="O523" i="4" s="1"/>
  <c r="N9" i="4"/>
  <c r="K77" i="4"/>
  <c r="I65" i="4"/>
  <c r="K65" i="4" s="1"/>
  <c r="O36" i="3"/>
  <c r="L34" i="3"/>
  <c r="O34" i="3" s="1"/>
  <c r="O317" i="2"/>
  <c r="L786" i="3"/>
  <c r="O786" i="3" s="1"/>
  <c r="N261" i="3"/>
  <c r="O261" i="3" s="1"/>
  <c r="N13" i="3"/>
  <c r="N11" i="3" s="1"/>
  <c r="O660" i="1"/>
  <c r="O55" i="2"/>
  <c r="O277" i="2"/>
  <c r="M20" i="2"/>
  <c r="M18" i="2" s="1"/>
  <c r="P91" i="1"/>
  <c r="L30" i="3"/>
  <c r="L28" i="3" s="1"/>
  <c r="O28" i="3" s="1"/>
  <c r="M315" i="3"/>
  <c r="P315" i="3" s="1"/>
  <c r="O56" i="1"/>
  <c r="P91" i="2"/>
  <c r="P528" i="1"/>
  <c r="L227" i="1"/>
  <c r="P168" i="2"/>
  <c r="M66" i="3"/>
  <c r="P66" i="3" s="1"/>
  <c r="O391" i="3"/>
  <c r="L389" i="3"/>
  <c r="O389" i="3" s="1"/>
  <c r="L66" i="3"/>
  <c r="O66" i="3" s="1"/>
  <c r="K433" i="3"/>
  <c r="I417" i="3"/>
  <c r="K417" i="3" s="1"/>
  <c r="P183" i="3"/>
  <c r="L132" i="3"/>
  <c r="O132" i="3" s="1"/>
  <c r="O183" i="2"/>
  <c r="I418" i="3"/>
  <c r="K418" i="3" s="1"/>
  <c r="K434" i="3"/>
  <c r="O279" i="3"/>
  <c r="L277" i="3"/>
  <c r="O277" i="3" s="1"/>
  <c r="L119" i="3"/>
  <c r="O119" i="3" s="1"/>
  <c r="O121" i="3"/>
  <c r="P43" i="3"/>
  <c r="M41" i="3"/>
  <c r="P41" i="3" s="1"/>
  <c r="M402" i="3"/>
  <c r="P402" i="3" s="1"/>
  <c r="P345" i="2"/>
  <c r="P19" i="3"/>
  <c r="L786" i="2"/>
  <c r="O786" i="2" s="1"/>
  <c r="P277" i="2"/>
  <c r="P151" i="2"/>
  <c r="I64" i="3"/>
  <c r="K64" i="3" s="1"/>
  <c r="K76" i="3"/>
  <c r="O41" i="3"/>
  <c r="O26" i="3"/>
  <c r="L16" i="3"/>
  <c r="L24" i="3"/>
  <c r="P545" i="3"/>
  <c r="O525" i="3"/>
  <c r="L523" i="3"/>
  <c r="O523" i="3" s="1"/>
  <c r="P660" i="3"/>
  <c r="M657" i="3"/>
  <c r="M658" i="3"/>
  <c r="P658" i="3" s="1"/>
  <c r="K174" i="3"/>
  <c r="I164" i="3"/>
  <c r="K164" i="3" s="1"/>
  <c r="O12" i="3"/>
  <c r="L9" i="3"/>
  <c r="O688" i="2"/>
  <c r="O347" i="2"/>
  <c r="N261" i="2"/>
  <c r="O261" i="2" s="1"/>
  <c r="O149" i="2"/>
  <c r="P24" i="2"/>
  <c r="K669" i="3"/>
  <c r="P348" i="3"/>
  <c r="P472" i="3"/>
  <c r="M469" i="3"/>
  <c r="M470" i="3"/>
  <c r="P470" i="3" s="1"/>
  <c r="M33" i="3"/>
  <c r="P12" i="3"/>
  <c r="M9" i="3"/>
  <c r="K237" i="3"/>
  <c r="I226" i="3"/>
  <c r="P26" i="3"/>
  <c r="M16" i="3"/>
  <c r="O90" i="3"/>
  <c r="N88" i="3"/>
  <c r="P88" i="3" s="1"/>
  <c r="M24" i="3"/>
  <c r="M687" i="3"/>
  <c r="M688" i="3"/>
  <c r="P688" i="3" s="1"/>
  <c r="P690" i="3"/>
  <c r="M298" i="3"/>
  <c r="P298" i="3" s="1"/>
  <c r="L21" i="3"/>
  <c r="O23" i="3"/>
  <c r="L20" i="3"/>
  <c r="L13" i="3"/>
  <c r="L11" i="3" s="1"/>
  <c r="P121" i="3"/>
  <c r="M119" i="3"/>
  <c r="P119" i="3" s="1"/>
  <c r="O345" i="1"/>
  <c r="N421" i="1"/>
  <c r="N419" i="1" s="1"/>
  <c r="P419" i="1" s="1"/>
  <c r="O238" i="1"/>
  <c r="M688" i="2"/>
  <c r="P688" i="2" s="1"/>
  <c r="P690" i="2"/>
  <c r="O181" i="2"/>
  <c r="K559" i="3"/>
  <c r="I543" i="3"/>
  <c r="K543" i="3" s="1"/>
  <c r="P419" i="3"/>
  <c r="M328" i="3"/>
  <c r="P328" i="3" s="1"/>
  <c r="P330" i="3"/>
  <c r="O19" i="3"/>
  <c r="L53" i="3"/>
  <c r="O53" i="3" s="1"/>
  <c r="O55" i="3"/>
  <c r="O167" i="2"/>
  <c r="L13" i="1"/>
  <c r="L11" i="1" s="1"/>
  <c r="J654" i="1"/>
  <c r="K654" i="1" s="1"/>
  <c r="L31" i="1"/>
  <c r="O151" i="2"/>
  <c r="L165" i="2"/>
  <c r="O165" i="2" s="1"/>
  <c r="L544" i="3"/>
  <c r="O544" i="3" s="1"/>
  <c r="M389" i="3"/>
  <c r="P389" i="3" s="1"/>
  <c r="O249" i="3"/>
  <c r="L227" i="3"/>
  <c r="O391" i="2"/>
  <c r="L389" i="2"/>
  <c r="O389" i="2" s="1"/>
  <c r="N24" i="3"/>
  <c r="N16" i="3"/>
  <c r="N14" i="3" s="1"/>
  <c r="N446" i="1"/>
  <c r="O446" i="1" s="1"/>
  <c r="O449" i="1"/>
  <c r="K236" i="1"/>
  <c r="O209" i="1"/>
  <c r="O43" i="2"/>
  <c r="O264" i="2"/>
  <c r="P328" i="2"/>
  <c r="P121" i="2"/>
  <c r="M119" i="2"/>
  <c r="P119" i="2" s="1"/>
  <c r="P315" i="2"/>
  <c r="M16" i="2"/>
  <c r="O279" i="2"/>
  <c r="P449" i="1"/>
  <c r="L21" i="1"/>
  <c r="O21" i="1" s="1"/>
  <c r="K235" i="1"/>
  <c r="M685" i="2"/>
  <c r="P685" i="2" s="1"/>
  <c r="O315" i="2"/>
  <c r="O469" i="2"/>
  <c r="P279" i="2"/>
  <c r="P43" i="2"/>
  <c r="M41" i="2"/>
  <c r="P41" i="2" s="1"/>
  <c r="K64" i="1"/>
  <c r="O184" i="1"/>
  <c r="P26" i="2"/>
  <c r="O53" i="2"/>
  <c r="P149" i="2"/>
  <c r="P44" i="1"/>
  <c r="P449" i="2"/>
  <c r="L629" i="2"/>
  <c r="O629" i="2" s="1"/>
  <c r="K112" i="1"/>
  <c r="P134" i="2"/>
  <c r="M132" i="2"/>
  <c r="P132" i="2" s="1"/>
  <c r="P23" i="2"/>
  <c r="O330" i="2"/>
  <c r="L227" i="2"/>
  <c r="L119" i="2"/>
  <c r="O119" i="2" s="1"/>
  <c r="P300" i="2"/>
  <c r="M298" i="2"/>
  <c r="P298" i="2" s="1"/>
  <c r="O41" i="2"/>
  <c r="I164" i="2"/>
  <c r="K164" i="2" s="1"/>
  <c r="K174" i="2"/>
  <c r="K785" i="1"/>
  <c r="P68" i="2"/>
  <c r="M66" i="2"/>
  <c r="P66" i="2" s="1"/>
  <c r="P263" i="2"/>
  <c r="M261" i="2"/>
  <c r="K65" i="1"/>
  <c r="L298" i="2"/>
  <c r="O298" i="2" s="1"/>
  <c r="P317" i="2"/>
  <c r="P88" i="1"/>
  <c r="M30" i="1"/>
  <c r="M28" i="1" s="1"/>
  <c r="O470" i="2"/>
  <c r="P55" i="2"/>
  <c r="M53" i="2"/>
  <c r="P53" i="2" s="1"/>
  <c r="N20" i="2"/>
  <c r="N18" i="2" s="1"/>
  <c r="N21" i="2"/>
  <c r="P21" i="2" s="1"/>
  <c r="O328" i="2"/>
  <c r="O345" i="2"/>
  <c r="P331" i="2"/>
  <c r="P470" i="2"/>
  <c r="M181" i="2"/>
  <c r="P181" i="2" s="1"/>
  <c r="O23" i="2"/>
  <c r="L20" i="2"/>
  <c r="L13" i="2"/>
  <c r="P19" i="2"/>
  <c r="P328" i="1"/>
  <c r="P279" i="1"/>
  <c r="I226" i="2"/>
  <c r="K248" i="2"/>
  <c r="K537" i="2"/>
  <c r="P631" i="2"/>
  <c r="M629" i="2"/>
  <c r="P629" i="2" s="1"/>
  <c r="O26" i="2"/>
  <c r="L16" i="2"/>
  <c r="O33" i="2"/>
  <c r="L30" i="2"/>
  <c r="L31" i="2"/>
  <c r="O31" i="2" s="1"/>
  <c r="P545" i="2"/>
  <c r="M544" i="2"/>
  <c r="P544" i="2" s="1"/>
  <c r="N546" i="1"/>
  <c r="O546" i="1" s="1"/>
  <c r="O167" i="1"/>
  <c r="K522" i="2"/>
  <c r="K433" i="2"/>
  <c r="J417" i="2"/>
  <c r="K417" i="2" s="1"/>
  <c r="P351" i="2"/>
  <c r="I131" i="2"/>
  <c r="K131" i="2" s="1"/>
  <c r="K143" i="2"/>
  <c r="J592" i="2"/>
  <c r="K592" i="2" s="1"/>
  <c r="K593" i="2"/>
  <c r="P348" i="2"/>
  <c r="P660" i="2"/>
  <c r="M657" i="2"/>
  <c r="M658" i="2"/>
  <c r="P658" i="2" s="1"/>
  <c r="O525" i="2"/>
  <c r="L523" i="2"/>
  <c r="O523" i="2" s="1"/>
  <c r="P528" i="2"/>
  <c r="M525" i="2"/>
  <c r="M526" i="2"/>
  <c r="P526" i="2" s="1"/>
  <c r="M33" i="2"/>
  <c r="O15" i="2"/>
  <c r="I65" i="2"/>
  <c r="K65" i="2" s="1"/>
  <c r="K77" i="2"/>
  <c r="L66" i="2"/>
  <c r="O68" i="2"/>
  <c r="L9" i="2"/>
  <c r="N11" i="2"/>
  <c r="M165" i="2"/>
  <c r="N547" i="1"/>
  <c r="O547" i="1" s="1"/>
  <c r="O549" i="1"/>
  <c r="K434" i="2"/>
  <c r="I418" i="2"/>
  <c r="K418" i="2" s="1"/>
  <c r="M467" i="2"/>
  <c r="P467" i="2" s="1"/>
  <c r="O36" i="2"/>
  <c r="L34" i="2"/>
  <c r="O34" i="2" s="1"/>
  <c r="M419" i="2"/>
  <c r="I64" i="2"/>
  <c r="K64" i="2" s="1"/>
  <c r="K76" i="2"/>
  <c r="L24" i="2"/>
  <c r="O24" i="2" s="1"/>
  <c r="P12" i="2"/>
  <c r="M9" i="2"/>
  <c r="L402" i="2"/>
  <c r="O402" i="2" s="1"/>
  <c r="O404" i="2"/>
  <c r="L21" i="2"/>
  <c r="O391" i="1"/>
  <c r="L389" i="1"/>
  <c r="O389" i="1" s="1"/>
  <c r="N788" i="1"/>
  <c r="O788" i="1" s="1"/>
  <c r="N24" i="1"/>
  <c r="O24" i="1" s="1"/>
  <c r="O249" i="1"/>
  <c r="O528" i="1"/>
  <c r="K77" i="1"/>
  <c r="K99" i="1"/>
  <c r="M181" i="1"/>
  <c r="P181" i="1" s="1"/>
  <c r="P121" i="1"/>
  <c r="N526" i="1"/>
  <c r="O41" i="1"/>
  <c r="P525" i="1"/>
  <c r="O525" i="1"/>
  <c r="O132" i="1"/>
  <c r="P523" i="1"/>
  <c r="O330" i="1"/>
  <c r="K364" i="1"/>
  <c r="P56" i="1"/>
  <c r="P658" i="1"/>
  <c r="O138" i="1"/>
  <c r="P165" i="1"/>
  <c r="P151" i="1"/>
  <c r="M149" i="1"/>
  <c r="P149" i="1" s="1"/>
  <c r="J418" i="1"/>
  <c r="K418" i="1" s="1"/>
  <c r="K434" i="1"/>
  <c r="K76" i="1"/>
  <c r="P59" i="1"/>
  <c r="P167" i="1"/>
  <c r="K233" i="1"/>
  <c r="P330" i="1"/>
  <c r="K675" i="1"/>
  <c r="P277" i="1"/>
  <c r="L328" i="1"/>
  <c r="O328" i="1" s="1"/>
  <c r="N657" i="1"/>
  <c r="P657" i="1" s="1"/>
  <c r="P660" i="1"/>
  <c r="N688" i="1"/>
  <c r="P688" i="1" s="1"/>
  <c r="P90" i="1"/>
  <c r="J594" i="1"/>
  <c r="K594" i="1" s="1"/>
  <c r="O88" i="1"/>
  <c r="P424" i="1"/>
  <c r="O217" i="1"/>
  <c r="O789" i="1"/>
  <c r="P789" i="1"/>
  <c r="O68" i="1"/>
  <c r="K143" i="1"/>
  <c r="I131" i="1"/>
  <c r="K131" i="1" s="1"/>
  <c r="P345" i="1"/>
  <c r="L165" i="1"/>
  <c r="O165" i="1" s="1"/>
  <c r="P43" i="1"/>
  <c r="P125" i="1"/>
  <c r="N687" i="1"/>
  <c r="P300" i="1"/>
  <c r="M298" i="1"/>
  <c r="P298" i="1" s="1"/>
  <c r="M786" i="1"/>
  <c r="P791" i="1"/>
  <c r="O690" i="1"/>
  <c r="M119" i="1"/>
  <c r="J226" i="1"/>
  <c r="J180" i="1" s="1"/>
  <c r="O91" i="1"/>
  <c r="N227" i="1"/>
  <c r="O134" i="1"/>
  <c r="O347" i="1"/>
  <c r="P68" i="1"/>
  <c r="N66" i="1"/>
  <c r="P66" i="1" s="1"/>
  <c r="O791" i="1"/>
  <c r="O90" i="1"/>
  <c r="O23" i="1"/>
  <c r="K433" i="1"/>
  <c r="I417" i="1"/>
  <c r="K417" i="1" s="1"/>
  <c r="O198" i="1"/>
  <c r="L66" i="1"/>
  <c r="P263" i="1"/>
  <c r="M261" i="1"/>
  <c r="P261" i="1" s="1"/>
  <c r="O43" i="1"/>
  <c r="O121" i="1"/>
  <c r="N119" i="1"/>
  <c r="O119" i="1" s="1"/>
  <c r="I180" i="1"/>
  <c r="M41" i="1"/>
  <c r="P318" i="1"/>
  <c r="M655" i="1"/>
  <c r="L261" i="1"/>
  <c r="O261" i="1" s="1"/>
  <c r="O263" i="1"/>
  <c r="P347" i="1"/>
  <c r="O19" i="1"/>
  <c r="K559" i="1"/>
  <c r="I543" i="1"/>
  <c r="K543" i="1" s="1"/>
  <c r="P12" i="1"/>
  <c r="M9" i="1"/>
  <c r="L298" i="1"/>
  <c r="O298" i="1" s="1"/>
  <c r="O300" i="1"/>
  <c r="M544" i="1"/>
  <c r="P545" i="1"/>
  <c r="L149" i="1"/>
  <c r="O149" i="1" s="1"/>
  <c r="O151" i="1"/>
  <c r="P184" i="1"/>
  <c r="K576" i="1"/>
  <c r="M132" i="1"/>
  <c r="P132" i="1" s="1"/>
  <c r="P134" i="1"/>
  <c r="O26" i="1"/>
  <c r="L16" i="1"/>
  <c r="O447" i="1"/>
  <c r="N632" i="1"/>
  <c r="O634" i="1"/>
  <c r="N631" i="1"/>
  <c r="N20" i="1"/>
  <c r="N18" i="1" s="1"/>
  <c r="O12" i="1"/>
  <c r="L9" i="1"/>
  <c r="L277" i="1"/>
  <c r="O277" i="1" s="1"/>
  <c r="O279" i="1"/>
  <c r="L20" i="1"/>
  <c r="N9" i="1"/>
  <c r="N469" i="1"/>
  <c r="O469" i="1" s="1"/>
  <c r="N470" i="1"/>
  <c r="P470" i="1" s="1"/>
  <c r="N33" i="1"/>
  <c r="N13" i="1" s="1"/>
  <c r="O317" i="1"/>
  <c r="L315" i="1"/>
  <c r="P334" i="1"/>
  <c r="L544" i="1"/>
  <c r="L419" i="1"/>
  <c r="L523" i="1"/>
  <c r="O523" i="1" s="1"/>
  <c r="O472" i="1"/>
  <c r="P317" i="1"/>
  <c r="N315" i="1"/>
  <c r="P315" i="1" s="1"/>
  <c r="P19" i="1"/>
  <c r="N53" i="1"/>
  <c r="O53" i="1" s="1"/>
  <c r="O55" i="1"/>
  <c r="M21" i="1"/>
  <c r="P21" i="1" s="1"/>
  <c r="P23" i="1"/>
  <c r="M20" i="1"/>
  <c r="M18" i="1" s="1"/>
  <c r="M13" i="1"/>
  <c r="M24" i="1"/>
  <c r="M16" i="1"/>
  <c r="P26" i="1"/>
  <c r="P55" i="1"/>
  <c r="P24" i="9" l="1"/>
  <c r="M419" i="9"/>
  <c r="P419" i="9" s="1"/>
  <c r="P345" i="9"/>
  <c r="O88" i="9"/>
  <c r="M544" i="8"/>
  <c r="P544" i="8" s="1"/>
  <c r="P181" i="10"/>
  <c r="M655" i="8"/>
  <c r="P655" i="8" s="1"/>
  <c r="P33" i="8"/>
  <c r="M30" i="8"/>
  <c r="P30" i="8" s="1"/>
  <c r="P24" i="10"/>
  <c r="P546" i="10"/>
  <c r="M544" i="10"/>
  <c r="P544" i="10" s="1"/>
  <c r="O21" i="10"/>
  <c r="N10" i="10"/>
  <c r="N8" i="10" s="1"/>
  <c r="L28" i="8"/>
  <c r="O28" i="8" s="1"/>
  <c r="N11" i="10"/>
  <c r="O9" i="10"/>
  <c r="P33" i="10"/>
  <c r="M31" i="10"/>
  <c r="P31" i="10" s="1"/>
  <c r="M30" i="10"/>
  <c r="L414" i="10"/>
  <c r="O414" i="10" s="1"/>
  <c r="O315" i="10"/>
  <c r="L37" i="10"/>
  <c r="M37" i="10"/>
  <c r="P165" i="10"/>
  <c r="O165" i="10"/>
  <c r="P18" i="10"/>
  <c r="O13" i="10"/>
  <c r="L10" i="10"/>
  <c r="L11" i="10"/>
  <c r="P446" i="10"/>
  <c r="M444" i="10"/>
  <c r="P687" i="10"/>
  <c r="M685" i="10"/>
  <c r="P685" i="10" s="1"/>
  <c r="O20" i="10"/>
  <c r="L28" i="10"/>
  <c r="O28" i="10" s="1"/>
  <c r="P9" i="10"/>
  <c r="L18" i="10"/>
  <c r="O18" i="10" s="1"/>
  <c r="P13" i="10"/>
  <c r="M10" i="10"/>
  <c r="O16" i="10"/>
  <c r="L14" i="10"/>
  <c r="O14" i="10" s="1"/>
  <c r="M11" i="10"/>
  <c r="M13" i="8"/>
  <c r="M11" i="8" s="1"/>
  <c r="P20" i="10"/>
  <c r="N37" i="10"/>
  <c r="P88" i="10"/>
  <c r="O88" i="10"/>
  <c r="K226" i="10"/>
  <c r="I180" i="10"/>
  <c r="K180" i="10" s="1"/>
  <c r="P16" i="10"/>
  <c r="M14" i="10"/>
  <c r="P14" i="10" s="1"/>
  <c r="N11" i="9"/>
  <c r="P687" i="9"/>
  <c r="M685" i="9"/>
  <c r="P685" i="9" s="1"/>
  <c r="N37" i="9"/>
  <c r="N8" i="9"/>
  <c r="P33" i="9"/>
  <c r="M30" i="9"/>
  <c r="M31" i="9"/>
  <c r="P31" i="9" s="1"/>
  <c r="M13" i="9"/>
  <c r="M10" i="9" s="1"/>
  <c r="P10" i="9" s="1"/>
  <c r="L37" i="9"/>
  <c r="O21" i="9"/>
  <c r="O16" i="2"/>
  <c r="O21" i="8"/>
  <c r="O13" i="9"/>
  <c r="L10" i="9"/>
  <c r="O10" i="9" s="1"/>
  <c r="L11" i="9"/>
  <c r="P328" i="9"/>
  <c r="P88" i="9"/>
  <c r="O20" i="9"/>
  <c r="L18" i="9"/>
  <c r="O18" i="9" s="1"/>
  <c r="I180" i="9"/>
  <c r="K180" i="9" s="1"/>
  <c r="K226" i="9"/>
  <c r="O20" i="8"/>
  <c r="O24" i="8"/>
  <c r="P20" i="8"/>
  <c r="O30" i="9"/>
  <c r="L28" i="9"/>
  <c r="O28" i="9" s="1"/>
  <c r="P788" i="1"/>
  <c r="P298" i="5"/>
  <c r="P24" i="8"/>
  <c r="M14" i="9"/>
  <c r="P14" i="9" s="1"/>
  <c r="O9" i="9"/>
  <c r="P18" i="9"/>
  <c r="O24" i="5"/>
  <c r="P18" i="3"/>
  <c r="M18" i="8"/>
  <c r="P18" i="8" s="1"/>
  <c r="N11" i="8"/>
  <c r="O11" i="8" s="1"/>
  <c r="M37" i="9"/>
  <c r="L414" i="9"/>
  <c r="O414" i="9" s="1"/>
  <c r="P181" i="9"/>
  <c r="O181" i="9"/>
  <c r="P9" i="9"/>
  <c r="L14" i="9"/>
  <c r="O14" i="9" s="1"/>
  <c r="P20" i="9"/>
  <c r="N8" i="8"/>
  <c r="P181" i="7"/>
  <c r="P16" i="4"/>
  <c r="M544" i="7"/>
  <c r="P544" i="7" s="1"/>
  <c r="O16" i="7"/>
  <c r="N10" i="7"/>
  <c r="N8" i="7" s="1"/>
  <c r="L18" i="8"/>
  <c r="O18" i="8" s="1"/>
  <c r="O181" i="6"/>
  <c r="P53" i="6"/>
  <c r="P16" i="2"/>
  <c r="O298" i="6"/>
  <c r="N37" i="7"/>
  <c r="O9" i="8"/>
  <c r="P687" i="8"/>
  <c r="M685" i="8"/>
  <c r="P685" i="8" s="1"/>
  <c r="O53" i="8"/>
  <c r="N37" i="8"/>
  <c r="M37" i="8"/>
  <c r="L28" i="7"/>
  <c r="O28" i="7" s="1"/>
  <c r="P16" i="8"/>
  <c r="M14" i="8"/>
  <c r="P14" i="8" s="1"/>
  <c r="N37" i="6"/>
  <c r="O13" i="8"/>
  <c r="L10" i="8"/>
  <c r="O10" i="8" s="1"/>
  <c r="L37" i="8"/>
  <c r="O41" i="8"/>
  <c r="K226" i="8"/>
  <c r="I180" i="8"/>
  <c r="K180" i="8" s="1"/>
  <c r="M444" i="5"/>
  <c r="P444" i="5" s="1"/>
  <c r="L37" i="7"/>
  <c r="P419" i="8"/>
  <c r="O419" i="8"/>
  <c r="L414" i="8"/>
  <c r="O414" i="8" s="1"/>
  <c r="L14" i="8"/>
  <c r="O14" i="8" s="1"/>
  <c r="P9" i="8"/>
  <c r="P24" i="5"/>
  <c r="L14" i="7"/>
  <c r="O14" i="7" s="1"/>
  <c r="O181" i="7"/>
  <c r="P261" i="7"/>
  <c r="O20" i="6"/>
  <c r="P11" i="7"/>
  <c r="M37" i="7"/>
  <c r="L414" i="7"/>
  <c r="O414" i="7" s="1"/>
  <c r="O11" i="6"/>
  <c r="P20" i="7"/>
  <c r="M18" i="7"/>
  <c r="P18" i="7" s="1"/>
  <c r="O9" i="7"/>
  <c r="O20" i="7"/>
  <c r="L18" i="7"/>
  <c r="O18" i="7" s="1"/>
  <c r="P33" i="7"/>
  <c r="M30" i="7"/>
  <c r="M31" i="7"/>
  <c r="P31" i="7" s="1"/>
  <c r="P419" i="7"/>
  <c r="P631" i="7"/>
  <c r="M629" i="7"/>
  <c r="P629" i="7" s="1"/>
  <c r="P16" i="7"/>
  <c r="M14" i="7"/>
  <c r="P14" i="7" s="1"/>
  <c r="O13" i="7"/>
  <c r="L10" i="7"/>
  <c r="L11" i="7"/>
  <c r="O11" i="7" s="1"/>
  <c r="P9" i="7"/>
  <c r="O16" i="6"/>
  <c r="P261" i="6"/>
  <c r="K226" i="7"/>
  <c r="I180" i="7"/>
  <c r="K180" i="7" s="1"/>
  <c r="P13" i="7"/>
  <c r="M10" i="7"/>
  <c r="O20" i="3"/>
  <c r="M14" i="5"/>
  <c r="P14" i="5" s="1"/>
  <c r="P261" i="5"/>
  <c r="O24" i="6"/>
  <c r="P20" i="3"/>
  <c r="O9" i="6"/>
  <c r="K226" i="6"/>
  <c r="I180" i="6"/>
  <c r="K180" i="6" s="1"/>
  <c r="L14" i="6"/>
  <c r="O14" i="6" s="1"/>
  <c r="P16" i="6"/>
  <c r="M14" i="6"/>
  <c r="P14" i="6" s="1"/>
  <c r="L18" i="6"/>
  <c r="O18" i="6" s="1"/>
  <c r="N10" i="6"/>
  <c r="N8" i="6" s="1"/>
  <c r="O13" i="6"/>
  <c r="L10" i="6"/>
  <c r="P657" i="6"/>
  <c r="M655" i="6"/>
  <c r="P655" i="6" s="1"/>
  <c r="P422" i="1"/>
  <c r="K593" i="1"/>
  <c r="M30" i="6"/>
  <c r="P33" i="6"/>
  <c r="M31" i="6"/>
  <c r="P31" i="6" s="1"/>
  <c r="P687" i="6"/>
  <c r="M685" i="6"/>
  <c r="P685" i="6" s="1"/>
  <c r="M13" i="6"/>
  <c r="L37" i="6"/>
  <c r="P469" i="6"/>
  <c r="M467" i="6"/>
  <c r="L414" i="6"/>
  <c r="O414" i="6" s="1"/>
  <c r="P20" i="6"/>
  <c r="M18" i="6"/>
  <c r="P18" i="6" s="1"/>
  <c r="O30" i="6"/>
  <c r="L28" i="6"/>
  <c r="O28" i="6" s="1"/>
  <c r="P631" i="6"/>
  <c r="M629" i="6"/>
  <c r="P629" i="6" s="1"/>
  <c r="M37" i="6"/>
  <c r="N8" i="4"/>
  <c r="I180" i="4"/>
  <c r="K180" i="4" s="1"/>
  <c r="L414" i="5"/>
  <c r="P547" i="1"/>
  <c r="P631" i="5"/>
  <c r="O30" i="3"/>
  <c r="O30" i="4"/>
  <c r="O30" i="5"/>
  <c r="L28" i="5"/>
  <c r="O28" i="5" s="1"/>
  <c r="P421" i="1"/>
  <c r="N10" i="2"/>
  <c r="N8" i="2" s="1"/>
  <c r="P446" i="1"/>
  <c r="O88" i="3"/>
  <c r="M544" i="3"/>
  <c r="P544" i="3" s="1"/>
  <c r="N11" i="4"/>
  <c r="O11" i="4" s="1"/>
  <c r="O20" i="4"/>
  <c r="O165" i="4"/>
  <c r="I180" i="5"/>
  <c r="K180" i="5" s="1"/>
  <c r="K226" i="5"/>
  <c r="P419" i="5"/>
  <c r="O277" i="5"/>
  <c r="P277" i="5"/>
  <c r="L37" i="5"/>
  <c r="P469" i="5"/>
  <c r="M467" i="5"/>
  <c r="P467" i="5" s="1"/>
  <c r="P21" i="5"/>
  <c r="M544" i="5"/>
  <c r="P544" i="5" s="1"/>
  <c r="P546" i="5"/>
  <c r="P629" i="5"/>
  <c r="O629" i="5"/>
  <c r="O13" i="5"/>
  <c r="L10" i="5"/>
  <c r="O9" i="5"/>
  <c r="P525" i="5"/>
  <c r="M523" i="5"/>
  <c r="P523" i="5" s="1"/>
  <c r="O18" i="5"/>
  <c r="O16" i="5"/>
  <c r="L14" i="5"/>
  <c r="O14" i="5" s="1"/>
  <c r="N10" i="5"/>
  <c r="N8" i="5" s="1"/>
  <c r="N11" i="5"/>
  <c r="O11" i="5" s="1"/>
  <c r="P33" i="5"/>
  <c r="M30" i="5"/>
  <c r="M31" i="5"/>
  <c r="P31" i="5" s="1"/>
  <c r="O20" i="5"/>
  <c r="M13" i="5"/>
  <c r="M37" i="5"/>
  <c r="P9" i="5"/>
  <c r="N414" i="5"/>
  <c r="P20" i="5"/>
  <c r="M18" i="5"/>
  <c r="P18" i="5" s="1"/>
  <c r="N37" i="5"/>
  <c r="O21" i="3"/>
  <c r="O24" i="4"/>
  <c r="L37" i="4"/>
  <c r="O11" i="3"/>
  <c r="L37" i="3"/>
  <c r="M37" i="4"/>
  <c r="O21" i="2"/>
  <c r="P13" i="4"/>
  <c r="M10" i="4"/>
  <c r="P10" i="4" s="1"/>
  <c r="M11" i="4"/>
  <c r="P33" i="4"/>
  <c r="M30" i="4"/>
  <c r="M31" i="4"/>
  <c r="P31" i="4" s="1"/>
  <c r="O149" i="4"/>
  <c r="P149" i="4"/>
  <c r="P24" i="1"/>
  <c r="O421" i="1"/>
  <c r="L18" i="4"/>
  <c r="O18" i="4" s="1"/>
  <c r="P20" i="4"/>
  <c r="M18" i="4"/>
  <c r="P18" i="4" s="1"/>
  <c r="O88" i="4"/>
  <c r="P88" i="4"/>
  <c r="N37" i="4"/>
  <c r="O9" i="4"/>
  <c r="P9" i="4"/>
  <c r="P446" i="4"/>
  <c r="M444" i="4"/>
  <c r="O13" i="4"/>
  <c r="L10" i="4"/>
  <c r="O10" i="4" s="1"/>
  <c r="O16" i="4"/>
  <c r="L14" i="4"/>
  <c r="O14" i="4" s="1"/>
  <c r="O261" i="4"/>
  <c r="P261" i="4"/>
  <c r="L414" i="4"/>
  <c r="O414" i="4" s="1"/>
  <c r="O657" i="1"/>
  <c r="P261" i="2"/>
  <c r="N37" i="2"/>
  <c r="P261" i="3"/>
  <c r="N655" i="1"/>
  <c r="O655" i="1" s="1"/>
  <c r="L414" i="3"/>
  <c r="O414" i="3" s="1"/>
  <c r="P33" i="3"/>
  <c r="M30" i="3"/>
  <c r="M13" i="3"/>
  <c r="M31" i="3"/>
  <c r="P31" i="3" s="1"/>
  <c r="P24" i="3"/>
  <c r="K226" i="3"/>
  <c r="I180" i="3"/>
  <c r="K180" i="3" s="1"/>
  <c r="P657" i="3"/>
  <c r="M655" i="3"/>
  <c r="P655" i="3" s="1"/>
  <c r="L18" i="3"/>
  <c r="O18" i="3" s="1"/>
  <c r="P469" i="3"/>
  <c r="M467" i="3"/>
  <c r="O9" i="3"/>
  <c r="M37" i="3"/>
  <c r="N10" i="3"/>
  <c r="N8" i="3" s="1"/>
  <c r="N37" i="3"/>
  <c r="O13" i="3"/>
  <c r="L10" i="3"/>
  <c r="L8" i="3" s="1"/>
  <c r="P9" i="3"/>
  <c r="O24" i="3"/>
  <c r="P687" i="3"/>
  <c r="M685" i="3"/>
  <c r="P685" i="3" s="1"/>
  <c r="L14" i="3"/>
  <c r="O14" i="3" s="1"/>
  <c r="O16" i="3"/>
  <c r="P16" i="3"/>
  <c r="M14" i="3"/>
  <c r="P14" i="3" s="1"/>
  <c r="N444" i="1"/>
  <c r="O444" i="1" s="1"/>
  <c r="M14" i="2"/>
  <c r="P14" i="2" s="1"/>
  <c r="P18" i="2"/>
  <c r="L414" i="2"/>
  <c r="O414" i="2" s="1"/>
  <c r="P20" i="2"/>
  <c r="P657" i="2"/>
  <c r="M655" i="2"/>
  <c r="P655" i="2" s="1"/>
  <c r="O20" i="2"/>
  <c r="L18" i="2"/>
  <c r="O18" i="2" s="1"/>
  <c r="O66" i="2"/>
  <c r="L37" i="2"/>
  <c r="P525" i="2"/>
  <c r="M523" i="2"/>
  <c r="P523" i="2" s="1"/>
  <c r="P546" i="1"/>
  <c r="N544" i="1"/>
  <c r="P544" i="1" s="1"/>
  <c r="O30" i="2"/>
  <c r="L28" i="2"/>
  <c r="O28" i="2" s="1"/>
  <c r="O9" i="2"/>
  <c r="P165" i="2"/>
  <c r="M37" i="2"/>
  <c r="I180" i="2"/>
  <c r="K180" i="2" s="1"/>
  <c r="K226" i="2"/>
  <c r="P419" i="2"/>
  <c r="L14" i="2"/>
  <c r="O14" i="2" s="1"/>
  <c r="P9" i="2"/>
  <c r="P33" i="2"/>
  <c r="M30" i="2"/>
  <c r="M13" i="2"/>
  <c r="M31" i="2"/>
  <c r="P31" i="2" s="1"/>
  <c r="O13" i="2"/>
  <c r="L10" i="2"/>
  <c r="L11" i="2"/>
  <c r="O11" i="2" s="1"/>
  <c r="O20" i="1"/>
  <c r="O526" i="1"/>
  <c r="P526" i="1"/>
  <c r="N786" i="1"/>
  <c r="O786" i="1" s="1"/>
  <c r="O66" i="1"/>
  <c r="O688" i="1"/>
  <c r="P687" i="1"/>
  <c r="O687" i="1"/>
  <c r="N685" i="1"/>
  <c r="P18" i="1"/>
  <c r="P119" i="1"/>
  <c r="K226" i="1"/>
  <c r="K180" i="1"/>
  <c r="N10" i="1"/>
  <c r="N8" i="1" s="1"/>
  <c r="N11" i="1"/>
  <c r="O11" i="1" s="1"/>
  <c r="O13" i="1"/>
  <c r="P9" i="1"/>
  <c r="O419" i="1"/>
  <c r="L414" i="1"/>
  <c r="O470" i="1"/>
  <c r="O315" i="1"/>
  <c r="N30" i="1"/>
  <c r="P33" i="1"/>
  <c r="O33" i="1"/>
  <c r="N31" i="1"/>
  <c r="M414" i="1"/>
  <c r="P16" i="1"/>
  <c r="M14" i="1"/>
  <c r="P14" i="1" s="1"/>
  <c r="P41" i="1"/>
  <c r="M37" i="1"/>
  <c r="O16" i="1"/>
  <c r="L14" i="1"/>
  <c r="O14" i="1" s="1"/>
  <c r="N37" i="1"/>
  <c r="N467" i="1"/>
  <c r="P469" i="1"/>
  <c r="O9" i="1"/>
  <c r="O631" i="1"/>
  <c r="N629" i="1"/>
  <c r="P631" i="1"/>
  <c r="O632" i="1"/>
  <c r="P632" i="1"/>
  <c r="L37" i="1"/>
  <c r="M10" i="1"/>
  <c r="P13" i="1"/>
  <c r="L10" i="1"/>
  <c r="P20" i="1"/>
  <c r="P53" i="1"/>
  <c r="M11" i="1"/>
  <c r="L18" i="1"/>
  <c r="O18" i="1" s="1"/>
  <c r="P11" i="8" l="1"/>
  <c r="M28" i="8"/>
  <c r="P28" i="8" s="1"/>
  <c r="P13" i="8"/>
  <c r="O11" i="10"/>
  <c r="M414" i="8"/>
  <c r="P414" i="8" s="1"/>
  <c r="M10" i="8"/>
  <c r="P10" i="8" s="1"/>
  <c r="P11" i="10"/>
  <c r="O10" i="10"/>
  <c r="P10" i="10"/>
  <c r="M414" i="9"/>
  <c r="P414" i="9" s="1"/>
  <c r="M8" i="10"/>
  <c r="P8" i="10" s="1"/>
  <c r="P444" i="10"/>
  <c r="M414" i="10"/>
  <c r="P414" i="10" s="1"/>
  <c r="P30" i="10"/>
  <c r="M28" i="10"/>
  <c r="P28" i="10" s="1"/>
  <c r="P37" i="10"/>
  <c r="O37" i="10"/>
  <c r="L8" i="10"/>
  <c r="O8" i="10" s="1"/>
  <c r="P37" i="9"/>
  <c r="L8" i="9"/>
  <c r="O8" i="9" s="1"/>
  <c r="O11" i="9"/>
  <c r="O37" i="9"/>
  <c r="M28" i="9"/>
  <c r="P28" i="9" s="1"/>
  <c r="P30" i="9"/>
  <c r="M11" i="9"/>
  <c r="P11" i="9" s="1"/>
  <c r="P13" i="9"/>
  <c r="P37" i="6"/>
  <c r="M8" i="9"/>
  <c r="P8" i="9" s="1"/>
  <c r="P10" i="7"/>
  <c r="P37" i="7"/>
  <c r="O10" i="7"/>
  <c r="O37" i="6"/>
  <c r="O37" i="8"/>
  <c r="O37" i="7"/>
  <c r="P37" i="8"/>
  <c r="L8" i="8"/>
  <c r="O8" i="8" s="1"/>
  <c r="O10" i="6"/>
  <c r="M414" i="7"/>
  <c r="P414" i="7" s="1"/>
  <c r="L8" i="7"/>
  <c r="O8" i="7" s="1"/>
  <c r="M8" i="7"/>
  <c r="P8" i="7" s="1"/>
  <c r="P30" i="7"/>
  <c r="M28" i="7"/>
  <c r="P28" i="7" s="1"/>
  <c r="P30" i="6"/>
  <c r="M28" i="6"/>
  <c r="P28" i="6" s="1"/>
  <c r="L8" i="6"/>
  <c r="O8" i="6" s="1"/>
  <c r="P467" i="6"/>
  <c r="M414" i="6"/>
  <c r="P414" i="6" s="1"/>
  <c r="P13" i="6"/>
  <c r="M10" i="6"/>
  <c r="M11" i="6"/>
  <c r="P11" i="6" s="1"/>
  <c r="P37" i="4"/>
  <c r="O10" i="5"/>
  <c r="O414" i="5"/>
  <c r="O10" i="2"/>
  <c r="O37" i="5"/>
  <c r="P37" i="5"/>
  <c r="O37" i="2"/>
  <c r="P11" i="4"/>
  <c r="P30" i="5"/>
  <c r="M28" i="5"/>
  <c r="P28" i="5" s="1"/>
  <c r="M414" i="5"/>
  <c r="P414" i="5" s="1"/>
  <c r="O37" i="4"/>
  <c r="P13" i="5"/>
  <c r="M10" i="5"/>
  <c r="M11" i="5"/>
  <c r="P11" i="5" s="1"/>
  <c r="L8" i="5"/>
  <c r="O8" i="5" s="1"/>
  <c r="M8" i="4"/>
  <c r="P8" i="4" s="1"/>
  <c r="O37" i="3"/>
  <c r="P444" i="4"/>
  <c r="M414" i="4"/>
  <c r="P414" i="4" s="1"/>
  <c r="P37" i="2"/>
  <c r="L8" i="4"/>
  <c r="O8" i="4" s="1"/>
  <c r="P30" i="4"/>
  <c r="M28" i="4"/>
  <c r="P28" i="4" s="1"/>
  <c r="M414" i="2"/>
  <c r="P414" i="2" s="1"/>
  <c r="P655" i="1"/>
  <c r="O544" i="1"/>
  <c r="O8" i="3"/>
  <c r="P37" i="3"/>
  <c r="O10" i="3"/>
  <c r="P13" i="3"/>
  <c r="M10" i="3"/>
  <c r="M11" i="3"/>
  <c r="P11" i="3" s="1"/>
  <c r="P467" i="3"/>
  <c r="M414" i="3"/>
  <c r="P414" i="3" s="1"/>
  <c r="P30" i="3"/>
  <c r="M28" i="3"/>
  <c r="P28" i="3" s="1"/>
  <c r="P444" i="1"/>
  <c r="P13" i="2"/>
  <c r="M10" i="2"/>
  <c r="M11" i="2"/>
  <c r="P11" i="2" s="1"/>
  <c r="P30" i="2"/>
  <c r="M28" i="2"/>
  <c r="P28" i="2" s="1"/>
  <c r="L8" i="2"/>
  <c r="O8" i="2" s="1"/>
  <c r="P786" i="1"/>
  <c r="O10" i="1"/>
  <c r="P685" i="1"/>
  <c r="O685" i="1"/>
  <c r="P10" i="1"/>
  <c r="P11" i="1"/>
  <c r="L8" i="1"/>
  <c r="O8" i="1" s="1"/>
  <c r="O37" i="1"/>
  <c r="P30" i="1"/>
  <c r="N28" i="1"/>
  <c r="O30" i="1"/>
  <c r="O629" i="1"/>
  <c r="P629" i="1"/>
  <c r="M8" i="1"/>
  <c r="P8" i="1" s="1"/>
  <c r="P37" i="1"/>
  <c r="P31" i="1"/>
  <c r="O31" i="1"/>
  <c r="N414" i="1"/>
  <c r="P414" i="1" s="1"/>
  <c r="P467" i="1"/>
  <c r="O467" i="1"/>
  <c r="M8" i="8" l="1"/>
  <c r="P8" i="8" s="1"/>
  <c r="P10" i="6"/>
  <c r="M8" i="6"/>
  <c r="P8" i="6" s="1"/>
  <c r="P10" i="5"/>
  <c r="M8" i="5"/>
  <c r="P8" i="5" s="1"/>
  <c r="P10" i="3"/>
  <c r="M8" i="3"/>
  <c r="P8" i="3" s="1"/>
  <c r="P10" i="2"/>
  <c r="M8" i="2"/>
  <c r="P8" i="2" s="1"/>
  <c r="O414" i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7565BDED-2134-4BF3-94D9-CCC3DF0E2E38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<sst xmlns="http://schemas.openxmlformats.org/spreadsheetml/2006/main" count="34196" uniqueCount="384">
  <si>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</si>
  <si>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</si>
  <si>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</si>
  <si>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</si>
  <si>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</si>
  <si>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</si>
  <si>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</si>
  <si>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</si>
  <si>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</si>
  <si>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</si>
  <si>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</si>
  <si>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</si>
  <si>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</si>
  <si>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</si>
  <si>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</si>
  <si>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</si>
  <si>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</si>
  <si>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</si>
  <si>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</si>
  <si>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</si>
  <si>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</si>
  <si>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</si>
  <si>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</si>
  <si>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</si>
  <si>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</si>
  <si>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</si>
  <si>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</si>
  <si>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</si>
  <si>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</si>
  <si>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</si>
  <si>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</si>
  <si>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</si>
  <si>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</si>
  <si>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</si>
  <si>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</si>
  <si>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</si>
  <si>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</si>
  <si>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</si>
  <si>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</si>
  <si>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</si>
  <si>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</si>
  <si>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</si>
  <si>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</si>
  <si>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</si>
  <si>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</si>
  <si>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</si>
  <si>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</si>
  <si>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</si>
  <si>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</si>
  <si>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</si>
  <si>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</si>
  <si>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</si>
  <si>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</si>
  <si>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</si>
  <si>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</si>
  <si>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</si>
  <si>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</si>
  <si>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</si>
  <si>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</si>
  <si>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</si>
  <si>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</si>
  <si>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</si>
  <si>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</si>
  <si>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</si>
  <si>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</si>
  <si>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</si>
  <si>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</si>
  <si>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</si>
  <si>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</si>
  <si>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</si>
  <si>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</si>
  <si>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</si>
  <si>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</si>
  <si>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</si>
  <si>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</si>
  <si>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</si>
  <si>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</si>
  <si>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</si>
  <si>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</si>
  <si>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</si>
  <si>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</si>
  <si>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</si>
  <si>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</si>
  <si>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</si>
  <si>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</si>
  <si>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</si>
  <si>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</si>
  <si>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</si>
  <si>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</si>
  <si>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</si>
  <si>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</si>
  <si>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</si>
  <si>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</si>
  <si>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</si>
  <si>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</si>
  <si>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</si>
  <si>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</si>
  <si>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</si>
  <si>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</si>
  <si>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</si>
  <si>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</si>
  <si>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</si>
  <si>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</si>
  <si>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</si>
  <si>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</si>
  <si>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</si>
  <si>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</si>
  <si>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</si>
  <si>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</si>
  <si>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</si>
  <si>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</si>
  <si>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</si>
  <si>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</si>
  <si>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</si>
  <si>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</si>
  <si>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</si>
  <si>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</si>
  <si>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</si>
  <si>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</si>
  <si>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</si>
  <si>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</si>
  <si>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</si>
  <si>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</si>
  <si>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</si>
  <si>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</si>
  <si>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</si>
  <si>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</si>
  <si>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</si>
  <si>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</si>
  <si>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</si>
  <si>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</si>
  <si>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</si>
  <si>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</si>
  <si>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</si>
  <si>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</si>
  <si>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</si>
  <si>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</si>
  <si>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</si>
  <si>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</si>
  <si>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</si>
  <si>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</si>
  <si>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</si>
  <si>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</si>
  <si>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</si>
  <si>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</si>
  <si>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</si>
  <si>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</si>
  <si>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</si>
  <si>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</si>
  <si>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</si>
  <si>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</si>
  <si>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</si>
  <si>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</si>
  <si>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</si>
  <si>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</si>
  <si>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</si>
  <si>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</si>
  <si>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</si>
  <si>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</si>
  <si>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</si>
  <si>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</si>
  <si>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</si>
  <si>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</si>
  <si>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</si>
  <si>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</si>
  <si>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</si>
  <si>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</si>
  <si>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</si>
  <si>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</si>
  <si>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</si>
  <si>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</si>
  <si>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</si>
  <si>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</si>
  <si>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</si>
  <si>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</si>
  <si>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</si>
  <si>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</si>
  <si>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</si>
  <si>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</si>
  <si>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</si>
  <si>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</si>
  <si>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</si>
  <si>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</si>
  <si>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</si>
  <si>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</si>
  <si>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</si>
  <si>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</si>
  <si>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</si>
  <si>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</si>
  <si>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</si>
  <si>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</si>
  <si>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</si>
  <si>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</si>
  <si>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</si>
  <si>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</si>
  <si>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</si>
  <si>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</si>
  <si>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</si>
  <si>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</si>
  <si>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</si>
  <si>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</si>
  <si>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</si>
  <si>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</si>
  <si>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</si>
  <si>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</si>
  <si>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</si>
  <si>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</si>
  <si>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</si>
  <si>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</si>
  <si>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</si>
  <si>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</si>
  <si>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</si>
  <si>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</si>
  <si>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</si>
  <si>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</si>
  <si>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</si>
  <si>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</si>
  <si>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</si>
  <si>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</si>
  <si>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</si>
  <si>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</si>
  <si>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</si>
  <si>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</si>
  <si>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</si>
  <si>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</si>
  <si>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</si>
  <si>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</si>
  <si>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</si>
  <si>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</si>
  <si>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</si>
  <si>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</si>
  <si>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</si>
  <si>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</si>
  <si>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</si>
  <si>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</si>
  <si>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</si>
  <si>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</si>
  <si>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</si>
  <si>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</si>
  <si>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</si>
  <si>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</si>
  <si>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</si>
  <si>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</si>
  <si>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</si>
  <si>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</si>
  <si>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</si>
  <si>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</si>
  <si>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</si>
  <si>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</si>
  <si>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</si>
  <si>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</si>
  <si>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</si>
  <si>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</si>
  <si>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</si>
  <si>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</si>
  <si>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</si>
  <si>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</si>
  <si>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</si>
  <si>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</si>
  <si>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</si>
  <si>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</si>
  <si>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</si>
  <si>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</si>
  <si>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</si>
  <si>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</si>
  <si>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</si>
  <si>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</si>
  <si>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</si>
  <si>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</si>
  <si>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</si>
  <si>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</si>
  <si>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</si>
  <si>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</si>
  <si>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</si>
  <si>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</si>
  <si>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</si>
  <si>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</si>
  <si>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</si>
  <si>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</si>
  <si>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</si>
  <si>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</si>
  <si>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</si>
  <si>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</si>
  <si>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</si>
  <si>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</si>
  <si>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</si>
  <si>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</si>
  <si>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</si>
  <si>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</si>
  <si>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</si>
  <si>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</si>
  <si>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</si>
  <si>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</si>
  <si>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</si>
  <si>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</si>
  <si>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</si>
  <si>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</si>
  <si>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</si>
  <si>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</si>
  <si>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</si>
  <si>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</si>
  <si>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</si>
  <si>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</si>
  <si>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</si>
  <si>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</si>
  <si>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</si>
  <si>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</si>
  <si>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</si>
  <si>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</si>
  <si>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</si>
  <si>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</si>
  <si>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</si>
  <si>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</si>
  <si>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</si>
  <si>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</si>
  <si>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</si>
  <si>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</si>
  <si>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</si>
  <si>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</si>
  <si>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</si>
  <si>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</si>
  <si>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</si>
  <si>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</si>
  <si>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</si>
  <si>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</si>
  <si>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</si>
  <si>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</si>
  <si>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</si>
  <si>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</si>
  <si>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</si>
  <si>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</si>
  <si>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</si>
  <si>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</si>
  <si>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</si>
  <si>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</si>
  <si>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</si>
  <si>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</si>
  <si>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</si>
  <si>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</si>
  <si>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</si>
  <si>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</si>
  <si>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</si>
  <si>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</si>
  <si>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</si>
  <si>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</si>
  <si>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</si>
  <si>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</si>
  <si>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</si>
  <si>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</si>
  <si>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</si>
  <si>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</si>
  <si>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</si>
  <si>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</si>
  <si>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</si>
  <si>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</si>
  <si>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</si>
  <si>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</si>
  <si>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</si>
  <si>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</t>
    </r>
  </si>
  <si>
    <r>
      <rPr>
        <b/>
        <u/>
        <sz val="15"/>
        <color theme="1"/>
        <rFont val="Arial"/>
        <family val="2"/>
      </rPr>
      <t>งานพิพาท</t>
    </r>
    <r>
      <rPr>
        <u/>
        <sz val="15"/>
        <color theme="1"/>
        <rFont val="Arial"/>
        <family val="2"/>
      </rPr>
      <t xml:space="preserve"> (ข้อมูลจากระบบปันสุข)</t>
    </r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</si>
  <si>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</si>
  <si>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</si>
  <si>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</si>
  <si>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</si>
  <si>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</si>
  <si>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</si>
  <si>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</si>
  <si>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</si>
  <si>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</si>
  <si>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</si>
  <si>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</si>
  <si>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</si>
  <si>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</si>
  <si>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</si>
  <si>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</si>
  <si>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</si>
  <si>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</si>
  <si>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</si>
  <si>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</si>
  <si>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</si>
  <si>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</si>
  <si>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</si>
  <si>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</si>
  <si>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19 พฤษภาคม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</si>
</sst>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120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sz val="10"/>
      <color rgb="FF000000"/>
      <name val="Arial"/>
      <family val="2"/>
    </font>
    <font>
      <sz val="15"/>
      <color rgb="FF000000"/>
      <name val="Arial"/>
      <family val="2"/>
    </font>
    <font>
      <sz val="15"/>
      <color rgb="FF000000"/>
      <name val="Arial"/>
      <family val="2"/>
      <scheme val="minor"/>
    </font>
    <font>
      <b/>
      <sz val="15"/>
      <color rgb="FF000000"/>
      <name val="Arial"/>
      <family val="2"/>
    </font>
    <font>
      <b/>
      <sz val="15"/>
      <color rgb="FFFFFFFF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sz val="15"/>
      <color rgb="FF000000"/>
      <name val="Arial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645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6" fillId="0" borderId="10" xfId="0" applyFont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0" fontId="76" fillId="0" borderId="0" xfId="0" applyFont="1" applyAlignment="1">
      <alignment horizontal="center"/>
    </xf>
    <xf numFmtId="0" fontId="77" fillId="2" borderId="1" xfId="0" applyFont="1" applyFill="1" applyBorder="1" applyAlignment="1"/>
    <xf numFmtId="187" fontId="77" fillId="2" borderId="1" xfId="0" applyNumberFormat="1" applyFont="1" applyFill="1" applyBorder="1" applyAlignment="1"/>
    <xf numFmtId="188" fontId="77" fillId="2" borderId="1" xfId="0" applyNumberFormat="1" applyFont="1" applyFill="1" applyBorder="1" applyAlignment="1"/>
    <xf numFmtId="0" fontId="76" fillId="3" borderId="2" xfId="0" applyFont="1" applyFill="1" applyBorder="1" applyAlignment="1">
      <alignment horizontal="center"/>
    </xf>
    <xf numFmtId="0" fontId="78" fillId="0" borderId="3" xfId="0" applyFont="1" applyBorder="1"/>
    <xf numFmtId="0" fontId="76" fillId="3" borderId="3" xfId="0" applyFont="1" applyFill="1" applyBorder="1" applyAlignment="1">
      <alignment horizontal="center"/>
    </xf>
    <xf numFmtId="0" fontId="76" fillId="4" borderId="1" xfId="0" applyFont="1" applyFill="1" applyBorder="1" applyAlignment="1">
      <alignment horizontal="center"/>
    </xf>
    <xf numFmtId="0" fontId="78" fillId="0" borderId="1" xfId="0" applyFont="1" applyBorder="1"/>
    <xf numFmtId="0" fontId="78" fillId="0" borderId="4" xfId="0" applyFont="1" applyBorder="1"/>
    <xf numFmtId="188" fontId="76" fillId="5" borderId="1" xfId="0" applyNumberFormat="1" applyFont="1" applyFill="1" applyBorder="1" applyAlignment="1">
      <alignment horizontal="center" wrapText="1"/>
    </xf>
    <xf numFmtId="188" fontId="76" fillId="6" borderId="1" xfId="0" applyNumberFormat="1" applyFont="1" applyFill="1" applyBorder="1" applyAlignment="1">
      <alignment horizontal="center"/>
    </xf>
    <xf numFmtId="0" fontId="78" fillId="0" borderId="5" xfId="0" applyFont="1" applyBorder="1"/>
    <xf numFmtId="188" fontId="76" fillId="4" borderId="4" xfId="0" applyNumberFormat="1" applyFont="1" applyFill="1" applyBorder="1" applyAlignment="1">
      <alignment horizontal="center"/>
    </xf>
    <xf numFmtId="187" fontId="76" fillId="4" borderId="4" xfId="0" applyNumberFormat="1" applyFont="1" applyFill="1" applyBorder="1" applyAlignment="1">
      <alignment horizontal="center" wrapText="1"/>
    </xf>
    <xf numFmtId="188" fontId="76" fillId="5" borderId="4" xfId="0" applyNumberFormat="1" applyFont="1" applyFill="1" applyBorder="1" applyAlignment="1">
      <alignment horizontal="center" wrapText="1"/>
    </xf>
    <xf numFmtId="188" fontId="76" fillId="7" borderId="4" xfId="0" applyNumberFormat="1" applyFont="1" applyFill="1" applyBorder="1" applyAlignment="1">
      <alignment horizontal="center" wrapText="1"/>
    </xf>
    <xf numFmtId="188" fontId="76" fillId="6" borderId="4" xfId="0" applyNumberFormat="1" applyFont="1" applyFill="1" applyBorder="1" applyAlignment="1">
      <alignment horizontal="center"/>
    </xf>
    <xf numFmtId="188" fontId="76" fillId="5" borderId="4" xfId="0" applyNumberFormat="1" applyFont="1" applyFill="1" applyBorder="1" applyAlignment="1">
      <alignment horizontal="center"/>
    </xf>
    <xf numFmtId="188" fontId="76" fillId="7" borderId="1" xfId="0" applyNumberFormat="1" applyFont="1" applyFill="1" applyBorder="1" applyAlignment="1">
      <alignment horizontal="center"/>
    </xf>
    <xf numFmtId="0" fontId="76" fillId="8" borderId="5" xfId="0" applyFont="1" applyFill="1" applyBorder="1" applyAlignment="1"/>
    <xf numFmtId="0" fontId="79" fillId="8" borderId="4" xfId="0" applyFont="1" applyFill="1" applyBorder="1" applyAlignment="1"/>
    <xf numFmtId="189" fontId="79" fillId="8" borderId="4" xfId="0" applyNumberFormat="1" applyFont="1" applyFill="1" applyBorder="1" applyAlignment="1"/>
    <xf numFmtId="188" fontId="79" fillId="8" borderId="4" xfId="0" applyNumberFormat="1" applyFont="1" applyFill="1" applyBorder="1" applyAlignment="1"/>
    <xf numFmtId="0" fontId="77" fillId="9" borderId="6" xfId="0" applyFont="1" applyFill="1" applyBorder="1" applyAlignment="1"/>
    <xf numFmtId="0" fontId="77" fillId="9" borderId="7" xfId="0" applyFont="1" applyFill="1" applyBorder="1" applyAlignment="1"/>
    <xf numFmtId="0" fontId="76" fillId="9" borderId="7" xfId="0" applyFont="1" applyFill="1" applyBorder="1" applyAlignment="1"/>
    <xf numFmtId="0" fontId="80" fillId="9" borderId="7" xfId="0" applyFont="1" applyFill="1" applyBorder="1" applyAlignment="1"/>
    <xf numFmtId="0" fontId="77" fillId="9" borderId="8" xfId="0" applyFont="1" applyFill="1" applyBorder="1" applyAlignment="1"/>
    <xf numFmtId="0" fontId="81" fillId="9" borderId="8" xfId="0" applyFont="1" applyFill="1" applyBorder="1" applyAlignment="1">
      <alignment horizontal="center"/>
    </xf>
    <xf numFmtId="189" fontId="79" fillId="9" borderId="8" xfId="0" applyNumberFormat="1" applyFont="1" applyFill="1" applyBorder="1" applyAlignment="1"/>
    <xf numFmtId="188" fontId="79" fillId="9" borderId="8" xfId="0" applyNumberFormat="1" applyFont="1" applyFill="1" applyBorder="1" applyAlignment="1"/>
    <xf numFmtId="188" fontId="81" fillId="9" borderId="8" xfId="0" applyNumberFormat="1" applyFont="1" applyFill="1" applyBorder="1" applyAlignment="1"/>
    <xf numFmtId="0" fontId="77" fillId="0" borderId="0" xfId="0" applyFont="1" applyAlignment="1"/>
    <xf numFmtId="0" fontId="82" fillId="9" borderId="9" xfId="0" applyFont="1" applyFill="1" applyBorder="1" applyAlignment="1"/>
    <xf numFmtId="0" fontId="82" fillId="9" borderId="10" xfId="0" applyFont="1" applyFill="1" applyBorder="1" applyAlignment="1"/>
    <xf numFmtId="0" fontId="83" fillId="9" borderId="10" xfId="0" applyFont="1" applyFill="1" applyBorder="1" applyAlignment="1"/>
    <xf numFmtId="0" fontId="82" fillId="9" borderId="11" xfId="0" applyFont="1" applyFill="1" applyBorder="1" applyAlignment="1"/>
    <xf numFmtId="0" fontId="84" fillId="9" borderId="11" xfId="0" applyFont="1" applyFill="1" applyBorder="1" applyAlignment="1">
      <alignment horizontal="center"/>
    </xf>
    <xf numFmtId="189" fontId="84" fillId="9" borderId="11" xfId="0" applyNumberFormat="1" applyFont="1" applyFill="1" applyBorder="1" applyAlignment="1"/>
    <xf numFmtId="188" fontId="84" fillId="9" borderId="11" xfId="0" applyNumberFormat="1" applyFont="1" applyFill="1" applyBorder="1" applyAlignment="1"/>
    <xf numFmtId="0" fontId="82" fillId="0" borderId="0" xfId="0" applyFont="1" applyAlignment="1"/>
    <xf numFmtId="0" fontId="77" fillId="2" borderId="9" xfId="0" applyFont="1" applyFill="1" applyBorder="1" applyAlignment="1"/>
    <xf numFmtId="0" fontId="77" fillId="2" borderId="10" xfId="0" applyFont="1" applyFill="1" applyBorder="1" applyAlignment="1"/>
    <xf numFmtId="0" fontId="85" fillId="2" borderId="10" xfId="0" applyFont="1" applyFill="1" applyBorder="1" applyAlignment="1"/>
    <xf numFmtId="0" fontId="77" fillId="2" borderId="11" xfId="0" applyFont="1" applyFill="1" applyBorder="1" applyAlignment="1"/>
    <xf numFmtId="0" fontId="79" fillId="2" borderId="11" xfId="0" applyFont="1" applyFill="1" applyBorder="1" applyAlignment="1">
      <alignment horizontal="center"/>
    </xf>
    <xf numFmtId="189" fontId="79" fillId="2" borderId="11" xfId="0" applyNumberFormat="1" applyFont="1" applyFill="1" applyBorder="1" applyAlignment="1"/>
    <xf numFmtId="188" fontId="79" fillId="2" borderId="11" xfId="0" applyNumberFormat="1" applyFont="1" applyFill="1" applyBorder="1" applyAlignment="1"/>
    <xf numFmtId="0" fontId="82" fillId="2" borderId="9" xfId="0" applyFont="1" applyFill="1" applyBorder="1" applyAlignment="1"/>
    <xf numFmtId="0" fontId="82" fillId="2" borderId="10" xfId="0" applyFont="1" applyFill="1" applyBorder="1" applyAlignment="1"/>
    <xf numFmtId="0" fontId="83" fillId="2" borderId="10" xfId="0" applyFont="1" applyFill="1" applyBorder="1" applyAlignment="1"/>
    <xf numFmtId="0" fontId="82" fillId="2" borderId="11" xfId="0" applyFont="1" applyFill="1" applyBorder="1" applyAlignment="1"/>
    <xf numFmtId="0" fontId="84" fillId="2" borderId="11" xfId="0" applyFont="1" applyFill="1" applyBorder="1" applyAlignment="1">
      <alignment horizontal="center"/>
    </xf>
    <xf numFmtId="189" fontId="84" fillId="2" borderId="11" xfId="0" applyNumberFormat="1" applyFont="1" applyFill="1" applyBorder="1" applyAlignment="1"/>
    <xf numFmtId="188" fontId="84" fillId="2" borderId="11" xfId="0" applyNumberFormat="1" applyFont="1" applyFill="1" applyBorder="1" applyAlignment="1"/>
    <xf numFmtId="0" fontId="82" fillId="2" borderId="5" xfId="0" applyFont="1" applyFill="1" applyBorder="1" applyAlignment="1"/>
    <xf numFmtId="0" fontId="82" fillId="2" borderId="1" xfId="0" applyFont="1" applyFill="1" applyBorder="1" applyAlignment="1"/>
    <xf numFmtId="0" fontId="83" fillId="2" borderId="1" xfId="0" applyFont="1" applyFill="1" applyBorder="1" applyAlignment="1"/>
    <xf numFmtId="0" fontId="83" fillId="2" borderId="4" xfId="0" applyFont="1" applyFill="1" applyBorder="1" applyAlignment="1"/>
    <xf numFmtId="0" fontId="84" fillId="2" borderId="4" xfId="0" applyFont="1" applyFill="1" applyBorder="1" applyAlignment="1">
      <alignment horizontal="center"/>
    </xf>
    <xf numFmtId="189" fontId="84" fillId="2" borderId="4" xfId="0" applyNumberFormat="1" applyFont="1" applyFill="1" applyBorder="1" applyAlignment="1"/>
    <xf numFmtId="188" fontId="84" fillId="2" borderId="4" xfId="0" applyNumberFormat="1" applyFont="1" applyFill="1" applyBorder="1" applyAlignment="1"/>
    <xf numFmtId="0" fontId="76" fillId="10" borderId="5" xfId="0" applyFont="1" applyFill="1" applyBorder="1" applyAlignment="1"/>
    <xf numFmtId="0" fontId="77" fillId="10" borderId="1" xfId="0" applyFont="1" applyFill="1" applyBorder="1" applyAlignment="1"/>
    <xf numFmtId="0" fontId="77" fillId="10" borderId="4" xfId="0" applyFont="1" applyFill="1" applyBorder="1" applyAlignment="1"/>
    <xf numFmtId="0" fontId="79" fillId="10" borderId="4" xfId="0" applyFont="1" applyFill="1" applyBorder="1" applyAlignment="1"/>
    <xf numFmtId="189" fontId="79" fillId="10" borderId="4" xfId="0" applyNumberFormat="1" applyFont="1" applyFill="1" applyBorder="1" applyAlignment="1"/>
    <xf numFmtId="188" fontId="79" fillId="10" borderId="4" xfId="0" applyNumberFormat="1" applyFont="1" applyFill="1" applyBorder="1" applyAlignment="1"/>
    <xf numFmtId="188" fontId="81" fillId="10" borderId="4" xfId="0" applyNumberFormat="1" applyFont="1" applyFill="1" applyBorder="1" applyAlignment="1"/>
    <xf numFmtId="0" fontId="76" fillId="11" borderId="5" xfId="0" applyFont="1" applyFill="1" applyBorder="1" applyAlignment="1"/>
    <xf numFmtId="0" fontId="77" fillId="11" borderId="1" xfId="0" applyFont="1" applyFill="1" applyBorder="1" applyAlignment="1"/>
    <xf numFmtId="0" fontId="77" fillId="11" borderId="4" xfId="0" applyFont="1" applyFill="1" applyBorder="1" applyAlignment="1"/>
    <xf numFmtId="0" fontId="79" fillId="11" borderId="4" xfId="0" applyFont="1" applyFill="1" applyBorder="1" applyAlignment="1"/>
    <xf numFmtId="189" fontId="79" fillId="11" borderId="4" xfId="0" applyNumberFormat="1" applyFont="1" applyFill="1" applyBorder="1" applyAlignment="1"/>
    <xf numFmtId="188" fontId="79" fillId="11" borderId="4" xfId="0" applyNumberFormat="1" applyFont="1" applyFill="1" applyBorder="1" applyAlignment="1"/>
    <xf numFmtId="0" fontId="77" fillId="12" borderId="9" xfId="0" applyFont="1" applyFill="1" applyBorder="1" applyAlignment="1"/>
    <xf numFmtId="0" fontId="76" fillId="12" borderId="10" xfId="0" applyFont="1" applyFill="1" applyBorder="1" applyAlignment="1"/>
    <xf numFmtId="0" fontId="77" fillId="12" borderId="10" xfId="0" applyFont="1" applyFill="1" applyBorder="1" applyAlignment="1"/>
    <xf numFmtId="0" fontId="77" fillId="12" borderId="11" xfId="0" applyFont="1" applyFill="1" applyBorder="1" applyAlignment="1"/>
    <xf numFmtId="0" fontId="79" fillId="12" borderId="11" xfId="0" applyFont="1" applyFill="1" applyBorder="1" applyAlignment="1"/>
    <xf numFmtId="189" fontId="79" fillId="12" borderId="11" xfId="0" applyNumberFormat="1" applyFont="1" applyFill="1" applyBorder="1" applyAlignment="1"/>
    <xf numFmtId="188" fontId="79" fillId="12" borderId="11" xfId="0" applyNumberFormat="1" applyFont="1" applyFill="1" applyBorder="1" applyAlignment="1"/>
    <xf numFmtId="0" fontId="77" fillId="13" borderId="9" xfId="0" applyFont="1" applyFill="1" applyBorder="1" applyAlignment="1"/>
    <xf numFmtId="0" fontId="76" fillId="13" borderId="10" xfId="0" applyFont="1" applyFill="1" applyBorder="1" applyAlignment="1"/>
    <xf numFmtId="0" fontId="78" fillId="0" borderId="10" xfId="0" applyFont="1" applyBorder="1"/>
    <xf numFmtId="0" fontId="78" fillId="0" borderId="11" xfId="0" applyFont="1" applyBorder="1"/>
    <xf numFmtId="0" fontId="79" fillId="13" borderId="11" xfId="0" applyFont="1" applyFill="1" applyBorder="1" applyAlignment="1"/>
    <xf numFmtId="189" fontId="79" fillId="13" borderId="11" xfId="0" applyNumberFormat="1" applyFont="1" applyFill="1" applyBorder="1" applyAlignment="1"/>
    <xf numFmtId="188" fontId="79" fillId="13" borderId="11" xfId="0" applyNumberFormat="1" applyFont="1" applyFill="1" applyBorder="1" applyAlignment="1"/>
    <xf numFmtId="0" fontId="77" fillId="14" borderId="12" xfId="0" applyFont="1" applyFill="1" applyBorder="1" applyAlignment="1"/>
    <xf numFmtId="0" fontId="77" fillId="14" borderId="13" xfId="0" applyFont="1" applyFill="1" applyBorder="1" applyAlignment="1"/>
    <xf numFmtId="0" fontId="76" fillId="14" borderId="13" xfId="0" applyFont="1" applyFill="1" applyBorder="1" applyAlignment="1"/>
    <xf numFmtId="0" fontId="80" fillId="14" borderId="13" xfId="0" applyFont="1" applyFill="1" applyBorder="1" applyAlignment="1"/>
    <xf numFmtId="0" fontId="77" fillId="14" borderId="14" xfId="0" applyFont="1" applyFill="1" applyBorder="1" applyAlignment="1"/>
    <xf numFmtId="0" fontId="81" fillId="14" borderId="14" xfId="0" applyFont="1" applyFill="1" applyBorder="1" applyAlignment="1">
      <alignment horizontal="center"/>
    </xf>
    <xf numFmtId="189" fontId="79" fillId="14" borderId="14" xfId="0" applyNumberFormat="1" applyFont="1" applyFill="1" applyBorder="1" applyAlignment="1"/>
    <xf numFmtId="188" fontId="79" fillId="14" borderId="14" xfId="0" applyNumberFormat="1" applyFont="1" applyFill="1" applyBorder="1" applyAlignment="1"/>
    <xf numFmtId="188" fontId="81" fillId="14" borderId="14" xfId="0" applyNumberFormat="1" applyFont="1" applyFill="1" applyBorder="1" applyAlignment="1"/>
    <xf numFmtId="0" fontId="82" fillId="14" borderId="9" xfId="0" applyFont="1" applyFill="1" applyBorder="1" applyAlignment="1"/>
    <xf numFmtId="0" fontId="82" fillId="14" borderId="10" xfId="0" applyFont="1" applyFill="1" applyBorder="1" applyAlignment="1"/>
    <xf numFmtId="0" fontId="83" fillId="14" borderId="10" xfId="0" applyFont="1" applyFill="1" applyBorder="1" applyAlignment="1"/>
    <xf numFmtId="0" fontId="83" fillId="14" borderId="11" xfId="0" applyFont="1" applyFill="1" applyBorder="1" applyAlignment="1"/>
    <xf numFmtId="0" fontId="84" fillId="14" borderId="11" xfId="0" applyFont="1" applyFill="1" applyBorder="1" applyAlignment="1">
      <alignment horizontal="center"/>
    </xf>
    <xf numFmtId="189" fontId="84" fillId="14" borderId="11" xfId="0" applyNumberFormat="1" applyFont="1" applyFill="1" applyBorder="1" applyAlignment="1"/>
    <xf numFmtId="188" fontId="84" fillId="14" borderId="11" xfId="0" applyNumberFormat="1" applyFont="1" applyFill="1" applyBorder="1" applyAlignment="1"/>
    <xf numFmtId="0" fontId="76" fillId="15" borderId="5" xfId="0" applyFont="1" applyFill="1" applyBorder="1" applyAlignment="1"/>
    <xf numFmtId="0" fontId="79" fillId="15" borderId="4" xfId="0" applyFont="1" applyFill="1" applyBorder="1" applyAlignment="1"/>
    <xf numFmtId="189" fontId="79" fillId="15" borderId="4" xfId="0" applyNumberFormat="1" applyFont="1" applyFill="1" applyBorder="1" applyAlignment="1"/>
    <xf numFmtId="188" fontId="79" fillId="15" borderId="4" xfId="0" applyNumberFormat="1" applyFont="1" applyFill="1" applyBorder="1" applyAlignment="1"/>
    <xf numFmtId="0" fontId="77" fillId="16" borderId="9" xfId="0" applyFont="1" applyFill="1" applyBorder="1" applyAlignment="1"/>
    <xf numFmtId="0" fontId="76" fillId="16" borderId="10" xfId="0" applyFont="1" applyFill="1" applyBorder="1" applyAlignment="1"/>
    <xf numFmtId="0" fontId="79" fillId="16" borderId="11" xfId="0" applyFont="1" applyFill="1" applyBorder="1" applyAlignment="1"/>
    <xf numFmtId="189" fontId="79" fillId="16" borderId="11" xfId="0" applyNumberFormat="1" applyFont="1" applyFill="1" applyBorder="1" applyAlignment="1"/>
    <xf numFmtId="188" fontId="79" fillId="16" borderId="11" xfId="0" applyNumberFormat="1" applyFont="1" applyFill="1" applyBorder="1" applyAlignment="1"/>
    <xf numFmtId="0" fontId="77" fillId="17" borderId="9" xfId="0" applyFont="1" applyFill="1" applyBorder="1" applyAlignment="1"/>
    <xf numFmtId="0" fontId="76" fillId="17" borderId="10" xfId="0" applyFont="1" applyFill="1" applyBorder="1" applyAlignment="1"/>
    <xf numFmtId="0" fontId="77" fillId="17" borderId="10" xfId="0" applyFont="1" applyFill="1" applyBorder="1" applyAlignment="1"/>
    <xf numFmtId="0" fontId="77" fillId="17" borderId="11" xfId="0" applyFont="1" applyFill="1" applyBorder="1" applyAlignment="1"/>
    <xf numFmtId="0" fontId="79" fillId="17" borderId="11" xfId="0" applyFont="1" applyFill="1" applyBorder="1" applyAlignment="1"/>
    <xf numFmtId="189" fontId="79" fillId="17" borderId="11" xfId="0" applyNumberFormat="1" applyFont="1" applyFill="1" applyBorder="1" applyAlignment="1"/>
    <xf numFmtId="188" fontId="79" fillId="17" borderId="11" xfId="0" applyNumberFormat="1" applyFont="1" applyFill="1" applyBorder="1" applyAlignment="1"/>
    <xf numFmtId="0" fontId="77" fillId="18" borderId="12" xfId="0" applyFont="1" applyFill="1" applyBorder="1" applyAlignment="1"/>
    <xf numFmtId="0" fontId="77" fillId="18" borderId="13" xfId="0" applyFont="1" applyFill="1" applyBorder="1" applyAlignment="1"/>
    <xf numFmtId="0" fontId="76" fillId="18" borderId="13" xfId="0" applyFont="1" applyFill="1" applyBorder="1" applyAlignment="1"/>
    <xf numFmtId="0" fontId="80" fillId="18" borderId="13" xfId="0" applyFont="1" applyFill="1" applyBorder="1" applyAlignment="1"/>
    <xf numFmtId="0" fontId="77" fillId="18" borderId="14" xfId="0" applyFont="1" applyFill="1" applyBorder="1" applyAlignment="1"/>
    <xf numFmtId="0" fontId="81" fillId="18" borderId="14" xfId="0" applyFont="1" applyFill="1" applyBorder="1" applyAlignment="1">
      <alignment horizontal="center"/>
    </xf>
    <xf numFmtId="189" fontId="79" fillId="18" borderId="14" xfId="0" applyNumberFormat="1" applyFont="1" applyFill="1" applyBorder="1" applyAlignment="1"/>
    <xf numFmtId="188" fontId="79" fillId="18" borderId="14" xfId="0" applyNumberFormat="1" applyFont="1" applyFill="1" applyBorder="1" applyAlignment="1"/>
    <xf numFmtId="188" fontId="81" fillId="18" borderId="14" xfId="0" applyNumberFormat="1" applyFont="1" applyFill="1" applyBorder="1" applyAlignment="1"/>
    <xf numFmtId="0" fontId="82" fillId="18" borderId="9" xfId="0" applyFont="1" applyFill="1" applyBorder="1" applyAlignment="1"/>
    <xf numFmtId="0" fontId="82" fillId="18" borderId="10" xfId="0" applyFont="1" applyFill="1" applyBorder="1" applyAlignment="1"/>
    <xf numFmtId="0" fontId="83" fillId="18" borderId="10" xfId="0" applyFont="1" applyFill="1" applyBorder="1" applyAlignment="1"/>
    <xf numFmtId="0" fontId="83" fillId="18" borderId="11" xfId="0" applyFont="1" applyFill="1" applyBorder="1" applyAlignment="1"/>
    <xf numFmtId="0" fontId="84" fillId="18" borderId="11" xfId="0" applyFont="1" applyFill="1" applyBorder="1" applyAlignment="1">
      <alignment horizontal="center"/>
    </xf>
    <xf numFmtId="189" fontId="84" fillId="18" borderId="11" xfId="0" applyNumberFormat="1" applyFont="1" applyFill="1" applyBorder="1" applyAlignment="1"/>
    <xf numFmtId="188" fontId="84" fillId="18" borderId="11" xfId="0" applyNumberFormat="1" applyFont="1" applyFill="1" applyBorder="1" applyAlignment="1"/>
    <xf numFmtId="187" fontId="76" fillId="19" borderId="5" xfId="0" applyNumberFormat="1" applyFont="1" applyFill="1" applyBorder="1" applyAlignment="1"/>
    <xf numFmtId="187" fontId="77" fillId="19" borderId="1" xfId="0" applyNumberFormat="1" applyFont="1" applyFill="1" applyBorder="1" applyAlignment="1"/>
    <xf numFmtId="0" fontId="77" fillId="19" borderId="1" xfId="0" applyFont="1" applyFill="1" applyBorder="1" applyAlignment="1"/>
    <xf numFmtId="0" fontId="77" fillId="19" borderId="4" xfId="0" applyFont="1" applyFill="1" applyBorder="1" applyAlignment="1"/>
    <xf numFmtId="0" fontId="79" fillId="19" borderId="4" xfId="0" applyFont="1" applyFill="1" applyBorder="1" applyAlignment="1"/>
    <xf numFmtId="189" fontId="79" fillId="19" borderId="4" xfId="0" applyNumberFormat="1" applyFont="1" applyFill="1" applyBorder="1" applyAlignment="1"/>
    <xf numFmtId="188" fontId="79" fillId="19" borderId="4" xfId="0" applyNumberFormat="1" applyFont="1" applyFill="1" applyBorder="1" applyAlignment="1"/>
    <xf numFmtId="187" fontId="76" fillId="20" borderId="9" xfId="0" applyNumberFormat="1" applyFont="1" applyFill="1" applyBorder="1" applyAlignment="1"/>
    <xf numFmtId="0" fontId="77" fillId="20" borderId="10" xfId="0" applyFont="1" applyFill="1" applyBorder="1" applyAlignment="1"/>
    <xf numFmtId="187" fontId="77" fillId="20" borderId="10" xfId="0" applyNumberFormat="1" applyFont="1" applyFill="1" applyBorder="1" applyAlignment="1"/>
    <xf numFmtId="0" fontId="77" fillId="20" borderId="11" xfId="0" applyFont="1" applyFill="1" applyBorder="1" applyAlignment="1"/>
    <xf numFmtId="0" fontId="79" fillId="20" borderId="11" xfId="0" applyFont="1" applyFill="1" applyBorder="1" applyAlignment="1"/>
    <xf numFmtId="189" fontId="79" fillId="20" borderId="11" xfId="0" applyNumberFormat="1" applyFont="1" applyFill="1" applyBorder="1" applyAlignment="1"/>
    <xf numFmtId="188" fontId="79" fillId="20" borderId="11" xfId="0" applyNumberFormat="1" applyFont="1" applyFill="1" applyBorder="1" applyAlignment="1"/>
    <xf numFmtId="190" fontId="77" fillId="9" borderId="9" xfId="0" applyNumberFormat="1" applyFont="1" applyFill="1" applyBorder="1" applyAlignment="1"/>
    <xf numFmtId="0" fontId="76" fillId="9" borderId="10" xfId="0" applyFont="1" applyFill="1" applyBorder="1" applyAlignment="1"/>
    <xf numFmtId="0" fontId="77" fillId="9" borderId="10" xfId="0" applyFont="1" applyFill="1" applyBorder="1" applyAlignment="1"/>
    <xf numFmtId="187" fontId="77" fillId="9" borderId="10" xfId="0" applyNumberFormat="1" applyFont="1" applyFill="1" applyBorder="1" applyAlignment="1"/>
    <xf numFmtId="0" fontId="77" fillId="9" borderId="11" xfId="0" applyFont="1" applyFill="1" applyBorder="1" applyAlignment="1"/>
    <xf numFmtId="0" fontId="81" fillId="9" borderId="11" xfId="0" applyFont="1" applyFill="1" applyBorder="1" applyAlignment="1">
      <alignment horizontal="center" wrapText="1"/>
    </xf>
    <xf numFmtId="189" fontId="81" fillId="9" borderId="11" xfId="0" applyNumberFormat="1" applyFont="1" applyFill="1" applyBorder="1" applyAlignment="1"/>
    <xf numFmtId="188" fontId="81" fillId="9" borderId="11" xfId="0" applyNumberFormat="1" applyFont="1" applyFill="1" applyBorder="1" applyAlignment="1"/>
    <xf numFmtId="188" fontId="79" fillId="9" borderId="11" xfId="0" applyNumberFormat="1" applyFont="1" applyFill="1" applyBorder="1" applyAlignment="1"/>
    <xf numFmtId="190" fontId="77" fillId="2" borderId="12" xfId="0" applyNumberFormat="1" applyFont="1" applyFill="1" applyBorder="1" applyAlignment="1"/>
    <xf numFmtId="0" fontId="77" fillId="2" borderId="13" xfId="0" applyFont="1" applyFill="1" applyBorder="1" applyAlignment="1"/>
    <xf numFmtId="0" fontId="76" fillId="2" borderId="13" xfId="0" applyFont="1" applyFill="1" applyBorder="1" applyAlignment="1"/>
    <xf numFmtId="0" fontId="80" fillId="2" borderId="13" xfId="0" applyFont="1" applyFill="1" applyBorder="1" applyAlignment="1"/>
    <xf numFmtId="0" fontId="77" fillId="2" borderId="14" xfId="0" applyFont="1" applyFill="1" applyBorder="1" applyAlignment="1"/>
    <xf numFmtId="187" fontId="81" fillId="2" borderId="14" xfId="0" applyNumberFormat="1" applyFont="1" applyFill="1" applyBorder="1" applyAlignment="1">
      <alignment horizontal="center"/>
    </xf>
    <xf numFmtId="189" fontId="79" fillId="2" borderId="14" xfId="0" applyNumberFormat="1" applyFont="1" applyFill="1" applyBorder="1" applyAlignment="1"/>
    <xf numFmtId="188" fontId="79" fillId="2" borderId="14" xfId="0" applyNumberFormat="1" applyFont="1" applyFill="1" applyBorder="1" applyAlignment="1"/>
    <xf numFmtId="188" fontId="81" fillId="2" borderId="14" xfId="0" applyNumberFormat="1" applyFont="1" applyFill="1" applyBorder="1" applyAlignment="1"/>
    <xf numFmtId="190" fontId="82" fillId="2" borderId="9" xfId="0" applyNumberFormat="1" applyFont="1" applyFill="1" applyBorder="1" applyAlignment="1"/>
    <xf numFmtId="0" fontId="83" fillId="2" borderId="11" xfId="0" applyFont="1" applyFill="1" applyBorder="1" applyAlignment="1"/>
    <xf numFmtId="187" fontId="84" fillId="2" borderId="11" xfId="0" applyNumberFormat="1" applyFont="1" applyFill="1" applyBorder="1" applyAlignment="1">
      <alignment horizontal="center"/>
    </xf>
    <xf numFmtId="190" fontId="77" fillId="2" borderId="9" xfId="0" applyNumberFormat="1" applyFont="1" applyFill="1" applyBorder="1" applyAlignment="1"/>
    <xf numFmtId="0" fontId="86" fillId="2" borderId="10" xfId="0" applyFont="1" applyFill="1" applyBorder="1" applyAlignment="1"/>
    <xf numFmtId="187" fontId="79" fillId="0" borderId="11" xfId="0" applyNumberFormat="1" applyFont="1" applyBorder="1" applyAlignment="1">
      <alignment horizontal="center" wrapText="1"/>
    </xf>
    <xf numFmtId="189" fontId="79" fillId="0" borderId="11" xfId="0" applyNumberFormat="1" applyFont="1" applyBorder="1" applyAlignment="1"/>
    <xf numFmtId="188" fontId="79" fillId="0" borderId="11" xfId="0" applyNumberFormat="1" applyFont="1" applyBorder="1" applyAlignment="1"/>
    <xf numFmtId="0" fontId="87" fillId="2" borderId="10" xfId="0" applyFont="1" applyFill="1" applyBorder="1" applyAlignment="1"/>
    <xf numFmtId="187" fontId="84" fillId="0" borderId="11" xfId="0" applyNumberFormat="1" applyFont="1" applyBorder="1" applyAlignment="1">
      <alignment horizontal="center" wrapText="1"/>
    </xf>
    <xf numFmtId="189" fontId="84" fillId="0" borderId="11" xfId="0" applyNumberFormat="1" applyFont="1" applyBorder="1" applyAlignment="1"/>
    <xf numFmtId="188" fontId="84" fillId="0" borderId="11" xfId="0" applyNumberFormat="1" applyFont="1" applyBorder="1" applyAlignment="1"/>
    <xf numFmtId="187" fontId="79" fillId="0" borderId="11" xfId="0" applyNumberFormat="1" applyFont="1" applyBorder="1" applyAlignment="1">
      <alignment horizontal="center"/>
    </xf>
    <xf numFmtId="187" fontId="84" fillId="0" borderId="11" xfId="0" applyNumberFormat="1" applyFont="1" applyBorder="1" applyAlignment="1">
      <alignment horizontal="center"/>
    </xf>
    <xf numFmtId="187" fontId="77" fillId="0" borderId="9" xfId="0" applyNumberFormat="1" applyFont="1" applyBorder="1" applyAlignment="1"/>
    <xf numFmtId="187" fontId="77" fillId="0" borderId="10" xfId="0" applyNumberFormat="1" applyFont="1" applyBorder="1" applyAlignment="1"/>
    <xf numFmtId="0" fontId="80" fillId="21" borderId="10" xfId="0" quotePrefix="1" applyFont="1" applyFill="1" applyBorder="1" applyAlignment="1"/>
    <xf numFmtId="0" fontId="77" fillId="21" borderId="10" xfId="0" applyFont="1" applyFill="1" applyBorder="1" applyAlignment="1"/>
    <xf numFmtId="0" fontId="77" fillId="21" borderId="11" xfId="0" applyFont="1" applyFill="1" applyBorder="1" applyAlignment="1"/>
    <xf numFmtId="0" fontId="79" fillId="0" borderId="11" xfId="0" applyFont="1" applyBorder="1" applyAlignment="1"/>
    <xf numFmtId="0" fontId="86" fillId="0" borderId="10" xfId="0" quotePrefix="1" applyFont="1" applyBorder="1" applyAlignment="1"/>
    <xf numFmtId="0" fontId="86" fillId="0" borderId="10" xfId="0" applyFont="1" applyBorder="1" applyAlignment="1"/>
    <xf numFmtId="0" fontId="77" fillId="0" borderId="10" xfId="0" applyFont="1" applyBorder="1" applyAlignment="1"/>
    <xf numFmtId="0" fontId="77" fillId="0" borderId="11" xfId="0" applyFont="1" applyBorder="1" applyAlignment="1"/>
    <xf numFmtId="0" fontId="81" fillId="0" borderId="11" xfId="0" applyFont="1" applyBorder="1" applyAlignment="1">
      <alignment horizontal="center" wrapText="1"/>
    </xf>
    <xf numFmtId="0" fontId="79" fillId="0" borderId="11" xfId="0" applyFont="1" applyBorder="1" applyAlignment="1">
      <alignment horizontal="center"/>
    </xf>
    <xf numFmtId="189" fontId="79" fillId="22" borderId="11" xfId="0" applyNumberFormat="1" applyFont="1" applyFill="1" applyBorder="1" applyAlignment="1"/>
    <xf numFmtId="0" fontId="79" fillId="0" borderId="11" xfId="0" applyFont="1" applyBorder="1" applyAlignment="1">
      <alignment horizontal="center" wrapText="1"/>
    </xf>
    <xf numFmtId="0" fontId="76" fillId="0" borderId="10" xfId="0" applyFont="1" applyBorder="1" applyAlignment="1"/>
    <xf numFmtId="0" fontId="79" fillId="0" borderId="10" xfId="0" applyFont="1" applyBorder="1" applyAlignment="1"/>
    <xf numFmtId="0" fontId="88" fillId="0" borderId="10" xfId="0" applyFont="1" applyBorder="1" applyAlignment="1"/>
    <xf numFmtId="0" fontId="79" fillId="2" borderId="11" xfId="0" applyFont="1" applyFill="1" applyBorder="1" applyAlignment="1"/>
    <xf numFmtId="0" fontId="90" fillId="0" borderId="10" xfId="0" applyFont="1" applyBorder="1" applyAlignment="1"/>
    <xf numFmtId="0" fontId="81" fillId="0" borderId="11" xfId="0" applyFont="1" applyBorder="1" applyAlignment="1">
      <alignment horizontal="center"/>
    </xf>
    <xf numFmtId="189" fontId="81" fillId="0" borderId="11" xfId="0" applyNumberFormat="1" applyFont="1" applyBorder="1" applyAlignment="1"/>
    <xf numFmtId="189" fontId="81" fillId="2" borderId="11" xfId="0" applyNumberFormat="1" applyFont="1" applyFill="1" applyBorder="1" applyAlignment="1"/>
    <xf numFmtId="188" fontId="81" fillId="2" borderId="11" xfId="0" applyNumberFormat="1" applyFont="1" applyFill="1" applyBorder="1" applyAlignment="1"/>
    <xf numFmtId="0" fontId="81" fillId="2" borderId="11" xfId="0" applyFont="1" applyFill="1" applyBorder="1" applyAlignment="1">
      <alignment horizontal="center"/>
    </xf>
    <xf numFmtId="0" fontId="86" fillId="0" borderId="13" xfId="0" applyFont="1" applyBorder="1" applyAlignment="1"/>
    <xf numFmtId="0" fontId="79" fillId="0" borderId="15" xfId="0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190" fontId="77" fillId="20" borderId="10" xfId="0" applyNumberFormat="1" applyFont="1" applyFill="1" applyBorder="1" applyAlignment="1"/>
    <xf numFmtId="0" fontId="79" fillId="20" borderId="10" xfId="0" applyFont="1" applyFill="1" applyBorder="1" applyAlignment="1"/>
    <xf numFmtId="189" fontId="79" fillId="20" borderId="10" xfId="0" applyNumberFormat="1" applyFont="1" applyFill="1" applyBorder="1" applyAlignment="1"/>
    <xf numFmtId="188" fontId="79" fillId="20" borderId="10" xfId="0" applyNumberFormat="1" applyFont="1" applyFill="1" applyBorder="1" applyAlignment="1"/>
    <xf numFmtId="190" fontId="77" fillId="9" borderId="10" xfId="0" applyNumberFormat="1" applyFont="1" applyFill="1" applyBorder="1" applyAlignment="1"/>
    <xf numFmtId="189" fontId="79" fillId="9" borderId="11" xfId="0" applyNumberFormat="1" applyFont="1" applyFill="1" applyBorder="1" applyAlignment="1"/>
    <xf numFmtId="0" fontId="81" fillId="9" borderId="10" xfId="0" applyFont="1" applyFill="1" applyBorder="1" applyAlignment="1">
      <alignment horizontal="center" wrapText="1"/>
    </xf>
    <xf numFmtId="190" fontId="76" fillId="9" borderId="10" xfId="0" applyNumberFormat="1" applyFont="1" applyFill="1" applyBorder="1" applyAlignment="1"/>
    <xf numFmtId="0" fontId="76" fillId="2" borderId="10" xfId="0" applyFont="1" applyFill="1" applyBorder="1" applyAlignment="1"/>
    <xf numFmtId="0" fontId="86" fillId="2" borderId="11" xfId="0" applyFont="1" applyFill="1" applyBorder="1" applyAlignment="1"/>
    <xf numFmtId="190" fontId="92" fillId="9" borderId="9" xfId="0" applyNumberFormat="1" applyFont="1" applyFill="1" applyBorder="1" applyAlignment="1"/>
    <xf numFmtId="0" fontId="80" fillId="9" borderId="10" xfId="0" applyFont="1" applyFill="1" applyBorder="1" applyAlignment="1"/>
    <xf numFmtId="0" fontId="92" fillId="9" borderId="10" xfId="0" applyFont="1" applyFill="1" applyBorder="1" applyAlignment="1"/>
    <xf numFmtId="0" fontId="76" fillId="9" borderId="11" xfId="0" applyFont="1" applyFill="1" applyBorder="1" applyAlignment="1"/>
    <xf numFmtId="187" fontId="81" fillId="9" borderId="11" xfId="0" applyNumberFormat="1" applyFont="1" applyFill="1" applyBorder="1" applyAlignment="1">
      <alignment horizontal="center"/>
    </xf>
    <xf numFmtId="0" fontId="93" fillId="0" borderId="0" xfId="0" applyFont="1"/>
    <xf numFmtId="0" fontId="94" fillId="2" borderId="10" xfId="0" applyFont="1" applyFill="1" applyBorder="1" applyAlignment="1"/>
    <xf numFmtId="0" fontId="95" fillId="0" borderId="0" xfId="0" applyFont="1"/>
    <xf numFmtId="190" fontId="82" fillId="2" borderId="17" xfId="0" applyNumberFormat="1" applyFont="1" applyFill="1" applyBorder="1" applyAlignment="1"/>
    <xf numFmtId="0" fontId="82" fillId="2" borderId="18" xfId="0" applyFont="1" applyFill="1" applyBorder="1" applyAlignment="1"/>
    <xf numFmtId="0" fontId="87" fillId="2" borderId="18" xfId="0" applyFont="1" applyFill="1" applyBorder="1" applyAlignment="1"/>
    <xf numFmtId="0" fontId="83" fillId="2" borderId="18" xfId="0" applyFont="1" applyFill="1" applyBorder="1" applyAlignment="1"/>
    <xf numFmtId="0" fontId="94" fillId="2" borderId="18" xfId="0" applyFont="1" applyFill="1" applyBorder="1" applyAlignment="1"/>
    <xf numFmtId="0" fontId="83" fillId="2" borderId="19" xfId="0" applyFont="1" applyFill="1" applyBorder="1" applyAlignment="1"/>
    <xf numFmtId="187" fontId="84" fillId="0" borderId="19" xfId="0" applyNumberFormat="1" applyFont="1" applyBorder="1" applyAlignment="1">
      <alignment horizontal="center"/>
    </xf>
    <xf numFmtId="189" fontId="84" fillId="2" borderId="19" xfId="0" applyNumberFormat="1" applyFont="1" applyFill="1" applyBorder="1" applyAlignment="1"/>
    <xf numFmtId="188" fontId="84" fillId="2" borderId="19" xfId="0" applyNumberFormat="1" applyFont="1" applyFill="1" applyBorder="1" applyAlignment="1"/>
    <xf numFmtId="187" fontId="76" fillId="7" borderId="5" xfId="0" applyNumberFormat="1" applyFont="1" applyFill="1" applyBorder="1" applyAlignment="1"/>
    <xf numFmtId="187" fontId="77" fillId="7" borderId="1" xfId="0" applyNumberFormat="1" applyFont="1" applyFill="1" applyBorder="1" applyAlignment="1"/>
    <xf numFmtId="0" fontId="77" fillId="7" borderId="1" xfId="0" applyFont="1" applyFill="1" applyBorder="1" applyAlignment="1"/>
    <xf numFmtId="0" fontId="77" fillId="7" borderId="4" xfId="0" applyFont="1" applyFill="1" applyBorder="1" applyAlignment="1"/>
    <xf numFmtId="0" fontId="79" fillId="7" borderId="4" xfId="0" applyFont="1" applyFill="1" applyBorder="1" applyAlignment="1"/>
    <xf numFmtId="189" fontId="79" fillId="7" borderId="4" xfId="0" applyNumberFormat="1" applyFont="1" applyFill="1" applyBorder="1" applyAlignment="1"/>
    <xf numFmtId="188" fontId="79" fillId="7" borderId="4" xfId="0" applyNumberFormat="1" applyFont="1" applyFill="1" applyBorder="1" applyAlignment="1"/>
    <xf numFmtId="187" fontId="76" fillId="23" borderId="9" xfId="0" applyNumberFormat="1" applyFont="1" applyFill="1" applyBorder="1" applyAlignment="1"/>
    <xf numFmtId="187" fontId="77" fillId="23" borderId="10" xfId="0" applyNumberFormat="1" applyFont="1" applyFill="1" applyBorder="1" applyAlignment="1"/>
    <xf numFmtId="0" fontId="77" fillId="23" borderId="10" xfId="0" applyFont="1" applyFill="1" applyBorder="1" applyAlignment="1"/>
    <xf numFmtId="0" fontId="77" fillId="23" borderId="11" xfId="0" applyFont="1" applyFill="1" applyBorder="1" applyAlignment="1"/>
    <xf numFmtId="0" fontId="79" fillId="23" borderId="11" xfId="0" applyFont="1" applyFill="1" applyBorder="1" applyAlignment="1"/>
    <xf numFmtId="189" fontId="79" fillId="23" borderId="11" xfId="0" applyNumberFormat="1" applyFont="1" applyFill="1" applyBorder="1" applyAlignment="1"/>
    <xf numFmtId="188" fontId="79" fillId="23" borderId="11" xfId="0" applyNumberFormat="1" applyFont="1" applyFill="1" applyBorder="1" applyAlignment="1"/>
    <xf numFmtId="187" fontId="77" fillId="21" borderId="9" xfId="0" applyNumberFormat="1" applyFont="1" applyFill="1" applyBorder="1" applyAlignment="1"/>
    <xf numFmtId="0" fontId="76" fillId="21" borderId="10" xfId="0" applyFont="1" applyFill="1" applyBorder="1" applyAlignment="1"/>
    <xf numFmtId="187" fontId="77" fillId="21" borderId="10" xfId="0" applyNumberFormat="1" applyFont="1" applyFill="1" applyBorder="1" applyAlignment="1"/>
    <xf numFmtId="0" fontId="81" fillId="21" borderId="11" xfId="0" applyFont="1" applyFill="1" applyBorder="1" applyAlignment="1">
      <alignment horizontal="center" wrapText="1"/>
    </xf>
    <xf numFmtId="189" fontId="81" fillId="21" borderId="11" xfId="0" applyNumberFormat="1" applyFont="1" applyFill="1" applyBorder="1" applyAlignment="1"/>
    <xf numFmtId="188" fontId="81" fillId="21" borderId="11" xfId="0" applyNumberFormat="1" applyFont="1" applyFill="1" applyBorder="1" applyAlignment="1"/>
    <xf numFmtId="188" fontId="79" fillId="21" borderId="11" xfId="0" applyNumberFormat="1" applyFont="1" applyFill="1" applyBorder="1" applyAlignment="1"/>
    <xf numFmtId="187" fontId="77" fillId="24" borderId="9" xfId="0" applyNumberFormat="1" applyFont="1" applyFill="1" applyBorder="1" applyAlignment="1"/>
    <xf numFmtId="0" fontId="77" fillId="24" borderId="10" xfId="0" applyFont="1" applyFill="1" applyBorder="1" applyAlignment="1"/>
    <xf numFmtId="187" fontId="86" fillId="24" borderId="10" xfId="0" applyNumberFormat="1" applyFont="1" applyFill="1" applyBorder="1" applyAlignment="1"/>
    <xf numFmtId="0" fontId="77" fillId="24" borderId="11" xfId="0" applyFont="1" applyFill="1" applyBorder="1" applyAlignment="1"/>
    <xf numFmtId="0" fontId="81" fillId="24" borderId="11" xfId="0" applyFont="1" applyFill="1" applyBorder="1" applyAlignment="1">
      <alignment horizontal="center" wrapText="1"/>
    </xf>
    <xf numFmtId="189" fontId="79" fillId="24" borderId="11" xfId="0" applyNumberFormat="1" applyFont="1" applyFill="1" applyBorder="1" applyAlignment="1"/>
    <xf numFmtId="188" fontId="79" fillId="24" borderId="11" xfId="0" applyNumberFormat="1" applyFont="1" applyFill="1" applyBorder="1" applyAlignment="1"/>
    <xf numFmtId="0" fontId="79" fillId="0" borderId="10" xfId="0" quotePrefix="1" applyFont="1" applyBorder="1" applyAlignment="1"/>
    <xf numFmtId="187" fontId="77" fillId="24" borderId="10" xfId="0" applyNumberFormat="1" applyFont="1" applyFill="1" applyBorder="1" applyAlignment="1"/>
    <xf numFmtId="187" fontId="83" fillId="24" borderId="10" xfId="0" applyNumberFormat="1" applyFont="1" applyFill="1" applyBorder="1" applyAlignment="1"/>
    <xf numFmtId="0" fontId="96" fillId="24" borderId="11" xfId="0" applyFont="1" applyFill="1" applyBorder="1" applyAlignment="1">
      <alignment horizontal="center" wrapText="1"/>
    </xf>
    <xf numFmtId="0" fontId="97" fillId="21" borderId="10" xfId="0" quotePrefix="1" applyFont="1" applyFill="1" applyBorder="1" applyAlignment="1"/>
    <xf numFmtId="0" fontId="83" fillId="0" borderId="10" xfId="0" quotePrefix="1" applyFont="1" applyBorder="1" applyAlignment="1"/>
    <xf numFmtId="0" fontId="83" fillId="0" borderId="10" xfId="0" applyFont="1" applyBorder="1" applyAlignment="1"/>
    <xf numFmtId="0" fontId="76" fillId="24" borderId="10" xfId="0" applyFont="1" applyFill="1" applyBorder="1" applyAlignment="1"/>
    <xf numFmtId="189" fontId="81" fillId="24" borderId="11" xfId="0" applyNumberFormat="1" applyFont="1" applyFill="1" applyBorder="1" applyAlignment="1"/>
    <xf numFmtId="188" fontId="81" fillId="24" borderId="11" xfId="0" applyNumberFormat="1" applyFont="1" applyFill="1" applyBorder="1" applyAlignment="1"/>
    <xf numFmtId="0" fontId="80" fillId="2" borderId="13" xfId="0" quotePrefix="1" applyFont="1" applyFill="1" applyBorder="1" applyAlignment="1"/>
    <xf numFmtId="187" fontId="81" fillId="0" borderId="14" xfId="0" applyNumberFormat="1" applyFont="1" applyBorder="1" applyAlignment="1">
      <alignment horizontal="center" wrapText="1"/>
    </xf>
    <xf numFmtId="188" fontId="81" fillId="22" borderId="14" xfId="0" applyNumberFormat="1" applyFont="1" applyFill="1" applyBorder="1" applyAlignment="1"/>
    <xf numFmtId="0" fontId="79" fillId="2" borderId="11" xfId="0" applyFont="1" applyFill="1" applyBorder="1" applyAlignment="1">
      <alignment horizontal="center" wrapText="1"/>
    </xf>
    <xf numFmtId="0" fontId="81" fillId="24" borderId="11" xfId="0" applyFont="1" applyFill="1" applyBorder="1" applyAlignment="1">
      <alignment horizontal="center"/>
    </xf>
    <xf numFmtId="189" fontId="79" fillId="0" borderId="14" xfId="0" applyNumberFormat="1" applyFont="1" applyBorder="1" applyAlignment="1"/>
    <xf numFmtId="188" fontId="79" fillId="0" borderId="14" xfId="0" applyNumberFormat="1" applyFont="1" applyBorder="1" applyAlignment="1"/>
    <xf numFmtId="187" fontId="77" fillId="2" borderId="10" xfId="0" applyNumberFormat="1" applyFont="1" applyFill="1" applyBorder="1" applyAlignment="1"/>
    <xf numFmtId="188" fontId="79" fillId="22" borderId="11" xfId="0" applyNumberFormat="1" applyFont="1" applyFill="1" applyBorder="1" applyAlignment="1"/>
    <xf numFmtId="187" fontId="77" fillId="2" borderId="9" xfId="0" applyNumberFormat="1" applyFont="1" applyFill="1" applyBorder="1" applyAlignment="1"/>
    <xf numFmtId="0" fontId="77" fillId="2" borderId="0" xfId="0" applyFont="1" applyFill="1" applyAlignment="1"/>
    <xf numFmtId="0" fontId="77" fillId="0" borderId="13" xfId="0" applyFont="1" applyBorder="1" applyAlignment="1"/>
    <xf numFmtId="0" fontId="77" fillId="0" borderId="14" xfId="0" applyFont="1" applyBorder="1" applyAlignment="1"/>
    <xf numFmtId="0" fontId="86" fillId="0" borderId="14" xfId="0" applyFont="1" applyBorder="1" applyAlignment="1"/>
    <xf numFmtId="0" fontId="86" fillId="0" borderId="10" xfId="0" applyFont="1" applyBorder="1" applyAlignment="1">
      <alignment horizontal="center"/>
    </xf>
    <xf numFmtId="0" fontId="77" fillId="24" borderId="13" xfId="0" applyFont="1" applyFill="1" applyBorder="1" applyAlignment="1"/>
    <xf numFmtId="187" fontId="76" fillId="2" borderId="10" xfId="0" applyNumberFormat="1" applyFont="1" applyFill="1" applyBorder="1" applyAlignment="1"/>
    <xf numFmtId="0" fontId="87" fillId="24" borderId="10" xfId="0" applyFont="1" applyFill="1" applyBorder="1" applyAlignment="1"/>
    <xf numFmtId="189" fontId="96" fillId="24" borderId="11" xfId="0" applyNumberFormat="1" applyFont="1" applyFill="1" applyBorder="1" applyAlignment="1"/>
    <xf numFmtId="188" fontId="96" fillId="24" borderId="11" xfId="0" applyNumberFormat="1" applyFont="1" applyFill="1" applyBorder="1" applyAlignment="1"/>
    <xf numFmtId="190" fontId="82" fillId="2" borderId="12" xfId="0" applyNumberFormat="1" applyFont="1" applyFill="1" applyBorder="1" applyAlignment="1"/>
    <xf numFmtId="0" fontId="82" fillId="2" borderId="13" xfId="0" applyFont="1" applyFill="1" applyBorder="1" applyAlignment="1"/>
    <xf numFmtId="0" fontId="87" fillId="2" borderId="13" xfId="0" applyFont="1" applyFill="1" applyBorder="1" applyAlignment="1"/>
    <xf numFmtId="0" fontId="97" fillId="2" borderId="13" xfId="0" applyFont="1" applyFill="1" applyBorder="1" applyAlignment="1"/>
    <xf numFmtId="0" fontId="82" fillId="2" borderId="14" xfId="0" applyFont="1" applyFill="1" applyBorder="1" applyAlignment="1"/>
    <xf numFmtId="187" fontId="96" fillId="0" borderId="14" xfId="0" applyNumberFormat="1" applyFont="1" applyBorder="1" applyAlignment="1">
      <alignment horizontal="center" wrapText="1"/>
    </xf>
    <xf numFmtId="189" fontId="84" fillId="0" borderId="14" xfId="0" applyNumberFormat="1" applyFont="1" applyBorder="1" applyAlignment="1"/>
    <xf numFmtId="188" fontId="84" fillId="0" borderId="14" xfId="0" applyNumberFormat="1" applyFont="1" applyBorder="1" applyAlignment="1"/>
    <xf numFmtId="188" fontId="96" fillId="2" borderId="14" xfId="0" applyNumberFormat="1" applyFont="1" applyFill="1" applyBorder="1" applyAlignment="1"/>
    <xf numFmtId="188" fontId="84" fillId="2" borderId="14" xfId="0" applyNumberFormat="1" applyFont="1" applyFill="1" applyBorder="1" applyAlignment="1"/>
    <xf numFmtId="187" fontId="82" fillId="2" borderId="10" xfId="0" applyNumberFormat="1" applyFont="1" applyFill="1" applyBorder="1" applyAlignment="1"/>
    <xf numFmtId="187" fontId="82" fillId="2" borderId="9" xfId="0" applyNumberFormat="1" applyFont="1" applyFill="1" applyBorder="1" applyAlignment="1"/>
    <xf numFmtId="187" fontId="87" fillId="2" borderId="10" xfId="0" applyNumberFormat="1" applyFont="1" applyFill="1" applyBorder="1" applyAlignment="1"/>
    <xf numFmtId="0" fontId="82" fillId="2" borderId="0" xfId="0" applyFont="1" applyFill="1" applyAlignment="1"/>
    <xf numFmtId="187" fontId="82" fillId="0" borderId="9" xfId="0" applyNumberFormat="1" applyFont="1" applyBorder="1" applyAlignment="1"/>
    <xf numFmtId="187" fontId="82" fillId="0" borderId="10" xfId="0" applyNumberFormat="1" applyFont="1" applyBorder="1" applyAlignment="1"/>
    <xf numFmtId="0" fontId="82" fillId="21" borderId="10" xfId="0" applyFont="1" applyFill="1" applyBorder="1" applyAlignment="1"/>
    <xf numFmtId="0" fontId="82" fillId="21" borderId="11" xfId="0" applyFont="1" applyFill="1" applyBorder="1" applyAlignment="1"/>
    <xf numFmtId="0" fontId="84" fillId="0" borderId="11" xfId="0" applyFont="1" applyBorder="1" applyAlignment="1"/>
    <xf numFmtId="0" fontId="82" fillId="0" borderId="10" xfId="0" applyFont="1" applyBorder="1" applyAlignment="1"/>
    <xf numFmtId="0" fontId="82" fillId="0" borderId="11" xfId="0" applyFont="1" applyBorder="1" applyAlignment="1"/>
    <xf numFmtId="0" fontId="84" fillId="0" borderId="11" xfId="0" applyFont="1" applyBorder="1" applyAlignment="1">
      <alignment horizontal="center"/>
    </xf>
    <xf numFmtId="187" fontId="83" fillId="0" borderId="10" xfId="0" quotePrefix="1" applyNumberFormat="1" applyFont="1" applyBorder="1" applyAlignment="1"/>
    <xf numFmtId="190" fontId="98" fillId="2" borderId="9" xfId="0" applyNumberFormat="1" applyFont="1" applyFill="1" applyBorder="1" applyAlignment="1"/>
    <xf numFmtId="187" fontId="98" fillId="2" borderId="10" xfId="0" applyNumberFormat="1" applyFont="1" applyFill="1" applyBorder="1" applyAlignment="1"/>
    <xf numFmtId="0" fontId="98" fillId="2" borderId="10" xfId="0" applyFont="1" applyFill="1" applyBorder="1" applyAlignment="1"/>
    <xf numFmtId="0" fontId="99" fillId="2" borderId="10" xfId="0" applyFont="1" applyFill="1" applyBorder="1" applyAlignment="1"/>
    <xf numFmtId="0" fontId="98" fillId="2" borderId="11" xfId="0" applyFont="1" applyFill="1" applyBorder="1" applyAlignment="1"/>
    <xf numFmtId="187" fontId="100" fillId="0" borderId="11" xfId="0" applyNumberFormat="1" applyFont="1" applyBorder="1" applyAlignment="1">
      <alignment horizontal="center" wrapText="1"/>
    </xf>
    <xf numFmtId="189" fontId="100" fillId="0" borderId="11" xfId="0" applyNumberFormat="1" applyFont="1" applyBorder="1" applyAlignment="1"/>
    <xf numFmtId="188" fontId="100" fillId="0" borderId="11" xfId="0" applyNumberFormat="1" applyFont="1" applyBorder="1" applyAlignment="1"/>
    <xf numFmtId="188" fontId="100" fillId="2" borderId="11" xfId="0" applyNumberFormat="1" applyFont="1" applyFill="1" applyBorder="1" applyAlignment="1"/>
    <xf numFmtId="188" fontId="100" fillId="22" borderId="11" xfId="0" applyNumberFormat="1" applyFont="1" applyFill="1" applyBorder="1" applyAlignment="1"/>
    <xf numFmtId="0" fontId="98" fillId="0" borderId="0" xfId="0" applyFont="1" applyAlignment="1"/>
    <xf numFmtId="187" fontId="98" fillId="2" borderId="9" xfId="0" applyNumberFormat="1" applyFont="1" applyFill="1" applyBorder="1" applyAlignment="1"/>
    <xf numFmtId="187" fontId="101" fillId="2" borderId="10" xfId="0" applyNumberFormat="1" applyFont="1" applyFill="1" applyBorder="1" applyAlignment="1"/>
    <xf numFmtId="189" fontId="100" fillId="2" borderId="11" xfId="0" applyNumberFormat="1" applyFont="1" applyFill="1" applyBorder="1" applyAlignment="1"/>
    <xf numFmtId="0" fontId="98" fillId="2" borderId="0" xfId="0" applyFont="1" applyFill="1" applyAlignment="1"/>
    <xf numFmtId="187" fontId="86" fillId="0" borderId="10" xfId="0" quotePrefix="1" applyNumberFormat="1" applyFont="1" applyBorder="1" applyAlignment="1"/>
    <xf numFmtId="0" fontId="88" fillId="0" borderId="10" xfId="0" quotePrefix="1" applyFont="1" applyBorder="1" applyAlignment="1"/>
    <xf numFmtId="0" fontId="100" fillId="2" borderId="11" xfId="0" applyFont="1" applyFill="1" applyBorder="1" applyAlignment="1">
      <alignment horizontal="center"/>
    </xf>
    <xf numFmtId="187" fontId="77" fillId="0" borderId="5" xfId="0" applyNumberFormat="1" applyFont="1" applyBorder="1" applyAlignment="1"/>
    <xf numFmtId="187" fontId="77" fillId="0" borderId="1" xfId="0" applyNumberFormat="1" applyFont="1" applyBorder="1" applyAlignment="1"/>
    <xf numFmtId="0" fontId="83" fillId="0" borderId="1" xfId="0" quotePrefix="1" applyFont="1" applyBorder="1" applyAlignment="1"/>
    <xf numFmtId="0" fontId="77" fillId="0" borderId="1" xfId="0" applyFont="1" applyBorder="1" applyAlignment="1"/>
    <xf numFmtId="0" fontId="77" fillId="0" borderId="4" xfId="0" applyFont="1" applyBorder="1" applyAlignment="1"/>
    <xf numFmtId="189" fontId="79" fillId="2" borderId="4" xfId="0" applyNumberFormat="1" applyFont="1" applyFill="1" applyBorder="1" applyAlignment="1"/>
    <xf numFmtId="188" fontId="79" fillId="0" borderId="4" xfId="0" applyNumberFormat="1" applyFont="1" applyBorder="1" applyAlignment="1"/>
    <xf numFmtId="187" fontId="102" fillId="25" borderId="5" xfId="0" applyNumberFormat="1" applyFont="1" applyFill="1" applyBorder="1" applyAlignment="1"/>
    <xf numFmtId="187" fontId="77" fillId="25" borderId="1" xfId="0" applyNumberFormat="1" applyFont="1" applyFill="1" applyBorder="1" applyAlignment="1"/>
    <xf numFmtId="0" fontId="77" fillId="25" borderId="1" xfId="0" applyFont="1" applyFill="1" applyBorder="1" applyAlignment="1"/>
    <xf numFmtId="0" fontId="77" fillId="25" borderId="4" xfId="0" applyFont="1" applyFill="1" applyBorder="1" applyAlignment="1"/>
    <xf numFmtId="0" fontId="79" fillId="25" borderId="4" xfId="0" applyFont="1" applyFill="1" applyBorder="1" applyAlignment="1"/>
    <xf numFmtId="189" fontId="79" fillId="25" borderId="4" xfId="0" applyNumberFormat="1" applyFont="1" applyFill="1" applyBorder="1" applyAlignment="1"/>
    <xf numFmtId="188" fontId="79" fillId="25" borderId="4" xfId="0" applyNumberFormat="1" applyFont="1" applyFill="1" applyBorder="1" applyAlignment="1"/>
    <xf numFmtId="187" fontId="76" fillId="26" borderId="9" xfId="0" applyNumberFormat="1" applyFont="1" applyFill="1" applyBorder="1" applyAlignment="1"/>
    <xf numFmtId="0" fontId="77" fillId="26" borderId="10" xfId="0" applyFont="1" applyFill="1" applyBorder="1" applyAlignment="1"/>
    <xf numFmtId="187" fontId="77" fillId="26" borderId="10" xfId="0" applyNumberFormat="1" applyFont="1" applyFill="1" applyBorder="1" applyAlignment="1"/>
    <xf numFmtId="0" fontId="79" fillId="26" borderId="10" xfId="0" applyFont="1" applyFill="1" applyBorder="1" applyAlignment="1"/>
    <xf numFmtId="189" fontId="79" fillId="26" borderId="10" xfId="0" applyNumberFormat="1" applyFont="1" applyFill="1" applyBorder="1" applyAlignment="1"/>
    <xf numFmtId="189" fontId="79" fillId="26" borderId="11" xfId="0" applyNumberFormat="1" applyFont="1" applyFill="1" applyBorder="1" applyAlignment="1"/>
    <xf numFmtId="188" fontId="79" fillId="26" borderId="11" xfId="0" applyNumberFormat="1" applyFont="1" applyFill="1" applyBorder="1" applyAlignment="1"/>
    <xf numFmtId="190" fontId="77" fillId="27" borderId="9" xfId="0" applyNumberFormat="1" applyFont="1" applyFill="1" applyBorder="1" applyAlignment="1"/>
    <xf numFmtId="0" fontId="76" fillId="27" borderId="10" xfId="0" applyFont="1" applyFill="1" applyBorder="1" applyAlignment="1"/>
    <xf numFmtId="0" fontId="77" fillId="27" borderId="10" xfId="0" applyFont="1" applyFill="1" applyBorder="1" applyAlignment="1"/>
    <xf numFmtId="187" fontId="77" fillId="27" borderId="10" xfId="0" applyNumberFormat="1" applyFont="1" applyFill="1" applyBorder="1" applyAlignment="1"/>
    <xf numFmtId="0" fontId="77" fillId="27" borderId="11" xfId="0" applyFont="1" applyFill="1" applyBorder="1" applyAlignment="1"/>
    <xf numFmtId="0" fontId="81" fillId="27" borderId="11" xfId="0" applyFont="1" applyFill="1" applyBorder="1" applyAlignment="1">
      <alignment horizontal="center" wrapText="1"/>
    </xf>
    <xf numFmtId="189" fontId="81" fillId="27" borderId="11" xfId="0" applyNumberFormat="1" applyFont="1" applyFill="1" applyBorder="1" applyAlignment="1"/>
    <xf numFmtId="188" fontId="81" fillId="27" borderId="11" xfId="0" applyNumberFormat="1" applyFont="1" applyFill="1" applyBorder="1" applyAlignment="1"/>
    <xf numFmtId="188" fontId="79" fillId="27" borderId="11" xfId="0" applyNumberFormat="1" applyFont="1" applyFill="1" applyBorder="1" applyAlignment="1"/>
    <xf numFmtId="189" fontId="79" fillId="27" borderId="11" xfId="0" applyNumberFormat="1" applyFont="1" applyFill="1" applyBorder="1" applyAlignment="1"/>
    <xf numFmtId="188" fontId="81" fillId="0" borderId="11" xfId="0" applyNumberFormat="1" applyFont="1" applyBorder="1" applyAlignment="1"/>
    <xf numFmtId="0" fontId="81" fillId="0" borderId="10" xfId="0" applyFont="1" applyBorder="1" applyAlignment="1"/>
    <xf numFmtId="187" fontId="77" fillId="0" borderId="12" xfId="0" applyNumberFormat="1" applyFont="1" applyBorder="1" applyAlignment="1"/>
    <xf numFmtId="187" fontId="77" fillId="0" borderId="13" xfId="0" applyNumberFormat="1" applyFont="1" applyBorder="1" applyAlignment="1"/>
    <xf numFmtId="0" fontId="81" fillId="0" borderId="13" xfId="0" applyFont="1" applyBorder="1" applyAlignment="1"/>
    <xf numFmtId="0" fontId="79" fillId="0" borderId="14" xfId="0" applyFont="1" applyBorder="1" applyAlignment="1">
      <alignment horizontal="center"/>
    </xf>
    <xf numFmtId="0" fontId="79" fillId="0" borderId="1" xfId="0" applyFont="1" applyBorder="1" applyAlignment="1"/>
    <xf numFmtId="0" fontId="79" fillId="0" borderId="4" xfId="0" applyFont="1" applyBorder="1" applyAlignment="1">
      <alignment horizontal="center"/>
    </xf>
    <xf numFmtId="189" fontId="79" fillId="0" borderId="4" xfId="0" applyNumberFormat="1" applyFont="1" applyBorder="1" applyAlignment="1"/>
    <xf numFmtId="189" fontId="79" fillId="22" borderId="4" xfId="0" applyNumberFormat="1" applyFont="1" applyFill="1" applyBorder="1" applyAlignment="1"/>
    <xf numFmtId="187" fontId="76" fillId="28" borderId="5" xfId="0" applyNumberFormat="1" applyFont="1" applyFill="1" applyBorder="1" applyAlignment="1"/>
    <xf numFmtId="187" fontId="77" fillId="28" borderId="1" xfId="0" applyNumberFormat="1" applyFont="1" applyFill="1" applyBorder="1" applyAlignment="1"/>
    <xf numFmtId="0" fontId="77" fillId="28" borderId="1" xfId="0" applyFont="1" applyFill="1" applyBorder="1" applyAlignment="1"/>
    <xf numFmtId="0" fontId="77" fillId="28" borderId="4" xfId="0" applyFont="1" applyFill="1" applyBorder="1" applyAlignment="1"/>
    <xf numFmtId="0" fontId="79" fillId="28" borderId="4" xfId="0" applyFont="1" applyFill="1" applyBorder="1" applyAlignment="1"/>
    <xf numFmtId="189" fontId="79" fillId="28" borderId="4" xfId="0" applyNumberFormat="1" applyFont="1" applyFill="1" applyBorder="1" applyAlignment="1"/>
    <xf numFmtId="188" fontId="79" fillId="28" borderId="4" xfId="0" applyNumberFormat="1" applyFont="1" applyFill="1" applyBorder="1" applyAlignment="1"/>
    <xf numFmtId="187" fontId="76" fillId="29" borderId="9" xfId="0" applyNumberFormat="1" applyFont="1" applyFill="1" applyBorder="1" applyAlignment="1"/>
    <xf numFmtId="187" fontId="77" fillId="29" borderId="10" xfId="0" applyNumberFormat="1" applyFont="1" applyFill="1" applyBorder="1" applyAlignment="1"/>
    <xf numFmtId="0" fontId="77" fillId="29" borderId="10" xfId="0" applyFont="1" applyFill="1" applyBorder="1" applyAlignment="1"/>
    <xf numFmtId="0" fontId="77" fillId="29" borderId="11" xfId="0" applyFont="1" applyFill="1" applyBorder="1" applyAlignment="1"/>
    <xf numFmtId="0" fontId="79" fillId="29" borderId="11" xfId="0" applyFont="1" applyFill="1" applyBorder="1" applyAlignment="1"/>
    <xf numFmtId="189" fontId="79" fillId="29" borderId="11" xfId="0" applyNumberFormat="1" applyFont="1" applyFill="1" applyBorder="1" applyAlignment="1"/>
    <xf numFmtId="188" fontId="79" fillId="29" borderId="11" xfId="0" applyNumberFormat="1" applyFont="1" applyFill="1" applyBorder="1" applyAlignment="1"/>
    <xf numFmtId="187" fontId="77" fillId="30" borderId="9" xfId="0" applyNumberFormat="1" applyFont="1" applyFill="1" applyBorder="1" applyAlignment="1"/>
    <xf numFmtId="0" fontId="76" fillId="30" borderId="10" xfId="0" applyFont="1" applyFill="1" applyBorder="1" applyAlignment="1"/>
    <xf numFmtId="0" fontId="77" fillId="30" borderId="10" xfId="0" applyFont="1" applyFill="1" applyBorder="1" applyAlignment="1"/>
    <xf numFmtId="0" fontId="77" fillId="30" borderId="11" xfId="0" applyFont="1" applyFill="1" applyBorder="1" applyAlignment="1"/>
    <xf numFmtId="0" fontId="81" fillId="30" borderId="11" xfId="0" applyFont="1" applyFill="1" applyBorder="1" applyAlignment="1">
      <alignment horizontal="center" wrapText="1"/>
    </xf>
    <xf numFmtId="189" fontId="81" fillId="30" borderId="11" xfId="0" applyNumberFormat="1" applyFont="1" applyFill="1" applyBorder="1" applyAlignment="1"/>
    <xf numFmtId="188" fontId="81" fillId="30" borderId="11" xfId="0" applyNumberFormat="1" applyFont="1" applyFill="1" applyBorder="1" applyAlignment="1"/>
    <xf numFmtId="188" fontId="79" fillId="30" borderId="11" xfId="0" applyNumberFormat="1" applyFont="1" applyFill="1" applyBorder="1" applyAlignment="1"/>
    <xf numFmtId="0" fontId="79" fillId="29" borderId="10" xfId="0" applyFont="1" applyFill="1" applyBorder="1" applyAlignment="1"/>
    <xf numFmtId="190" fontId="77" fillId="30" borderId="9" xfId="0" applyNumberFormat="1" applyFont="1" applyFill="1" applyBorder="1" applyAlignment="1"/>
    <xf numFmtId="190" fontId="77" fillId="30" borderId="10" xfId="0" applyNumberFormat="1" applyFont="1" applyFill="1" applyBorder="1" applyAlignment="1"/>
    <xf numFmtId="187" fontId="77" fillId="30" borderId="10" xfId="0" applyNumberFormat="1" applyFont="1" applyFill="1" applyBorder="1" applyAlignment="1"/>
    <xf numFmtId="189" fontId="79" fillId="30" borderId="11" xfId="0" applyNumberFormat="1" applyFont="1" applyFill="1" applyBorder="1" applyAlignment="1"/>
    <xf numFmtId="0" fontId="80" fillId="24" borderId="10" xfId="0" applyFont="1" applyFill="1" applyBorder="1" applyAlignment="1"/>
    <xf numFmtId="0" fontId="79" fillId="24" borderId="11" xfId="0" applyFont="1" applyFill="1" applyBorder="1" applyAlignment="1"/>
    <xf numFmtId="187" fontId="77" fillId="8" borderId="9" xfId="0" applyNumberFormat="1" applyFont="1" applyFill="1" applyBorder="1" applyAlignment="1"/>
    <xf numFmtId="187" fontId="77" fillId="8" borderId="10" xfId="0" applyNumberFormat="1" applyFont="1" applyFill="1" applyBorder="1" applyAlignment="1"/>
    <xf numFmtId="0" fontId="87" fillId="8" borderId="10" xfId="0" applyFont="1" applyFill="1" applyBorder="1" applyAlignment="1"/>
    <xf numFmtId="0" fontId="80" fillId="8" borderId="10" xfId="0" applyFont="1" applyFill="1" applyBorder="1" applyAlignment="1"/>
    <xf numFmtId="0" fontId="77" fillId="8" borderId="10" xfId="0" applyFont="1" applyFill="1" applyBorder="1" applyAlignment="1"/>
    <xf numFmtId="0" fontId="77" fillId="8" borderId="11" xfId="0" applyFont="1" applyFill="1" applyBorder="1" applyAlignment="1"/>
    <xf numFmtId="0" fontId="81" fillId="8" borderId="11" xfId="0" applyFont="1" applyFill="1" applyBorder="1" applyAlignment="1">
      <alignment horizontal="center"/>
    </xf>
    <xf numFmtId="189" fontId="81" fillId="8" borderId="11" xfId="0" applyNumberFormat="1" applyFont="1" applyFill="1" applyBorder="1" applyAlignment="1"/>
    <xf numFmtId="188" fontId="81" fillId="8" borderId="11" xfId="0" applyNumberFormat="1" applyFont="1" applyFill="1" applyBorder="1" applyAlignment="1"/>
    <xf numFmtId="188" fontId="79" fillId="8" borderId="11" xfId="0" applyNumberFormat="1" applyFont="1" applyFill="1" applyBorder="1" applyAlignment="1"/>
    <xf numFmtId="0" fontId="90" fillId="8" borderId="10" xfId="0" applyFont="1" applyFill="1" applyBorder="1" applyAlignment="1"/>
    <xf numFmtId="0" fontId="79" fillId="8" borderId="11" xfId="0" applyFont="1" applyFill="1" applyBorder="1" applyAlignment="1"/>
    <xf numFmtId="189" fontId="79" fillId="8" borderId="11" xfId="0" applyNumberFormat="1" applyFont="1" applyFill="1" applyBorder="1" applyAlignment="1"/>
    <xf numFmtId="187" fontId="103" fillId="0" borderId="9" xfId="0" applyNumberFormat="1" applyFont="1" applyBorder="1" applyAlignment="1"/>
    <xf numFmtId="187" fontId="104" fillId="8" borderId="9" xfId="0" applyNumberFormat="1" applyFont="1" applyFill="1" applyBorder="1" applyAlignment="1"/>
    <xf numFmtId="187" fontId="104" fillId="8" borderId="10" xfId="0" applyNumberFormat="1" applyFont="1" applyFill="1" applyBorder="1" applyAlignment="1"/>
    <xf numFmtId="0" fontId="105" fillId="8" borderId="10" xfId="0" applyFont="1" applyFill="1" applyBorder="1" applyAlignment="1"/>
    <xf numFmtId="0" fontId="106" fillId="8" borderId="10" xfId="0" applyFont="1" applyFill="1" applyBorder="1" applyAlignment="1"/>
    <xf numFmtId="0" fontId="104" fillId="8" borderId="10" xfId="0" applyFont="1" applyFill="1" applyBorder="1" applyAlignment="1"/>
    <xf numFmtId="0" fontId="104" fillId="8" borderId="11" xfId="0" applyFont="1" applyFill="1" applyBorder="1" applyAlignment="1"/>
    <xf numFmtId="0" fontId="107" fillId="8" borderId="11" xfId="0" applyFont="1" applyFill="1" applyBorder="1" applyAlignment="1">
      <alignment horizontal="center"/>
    </xf>
    <xf numFmtId="189" fontId="107" fillId="8" borderId="11" xfId="0" applyNumberFormat="1" applyFont="1" applyFill="1" applyBorder="1" applyAlignment="1"/>
    <xf numFmtId="188" fontId="107" fillId="8" borderId="11" xfId="0" applyNumberFormat="1" applyFont="1" applyFill="1" applyBorder="1" applyAlignment="1"/>
    <xf numFmtId="188" fontId="108" fillId="8" borderId="11" xfId="0" applyNumberFormat="1" applyFont="1" applyFill="1" applyBorder="1" applyAlignment="1"/>
    <xf numFmtId="0" fontId="109" fillId="0" borderId="0" xfId="0" applyFont="1"/>
    <xf numFmtId="187" fontId="104" fillId="31" borderId="9" xfId="0" applyNumberFormat="1" applyFont="1" applyFill="1" applyBorder="1" applyAlignment="1"/>
    <xf numFmtId="187" fontId="104" fillId="31" borderId="10" xfId="0" applyNumberFormat="1" applyFont="1" applyFill="1" applyBorder="1" applyAlignment="1"/>
    <xf numFmtId="0" fontId="105" fillId="31" borderId="10" xfId="0" applyFont="1" applyFill="1" applyBorder="1" applyAlignment="1"/>
    <xf numFmtId="0" fontId="104" fillId="31" borderId="10" xfId="0" applyFont="1" applyFill="1" applyBorder="1" applyAlignment="1"/>
    <xf numFmtId="0" fontId="104" fillId="31" borderId="11" xfId="0" applyFont="1" applyFill="1" applyBorder="1" applyAlignment="1"/>
    <xf numFmtId="0" fontId="107" fillId="31" borderId="11" xfId="0" applyFont="1" applyFill="1" applyBorder="1" applyAlignment="1">
      <alignment horizontal="center"/>
    </xf>
    <xf numFmtId="189" fontId="107" fillId="31" borderId="11" xfId="0" applyNumberFormat="1" applyFont="1" applyFill="1" applyBorder="1" applyAlignment="1"/>
    <xf numFmtId="188" fontId="107" fillId="31" borderId="11" xfId="0" applyNumberFormat="1" applyFont="1" applyFill="1" applyBorder="1" applyAlignment="1"/>
    <xf numFmtId="188" fontId="108" fillId="31" borderId="11" xfId="0" applyNumberFormat="1" applyFont="1" applyFill="1" applyBorder="1" applyAlignment="1"/>
    <xf numFmtId="0" fontId="110" fillId="31" borderId="10" xfId="0" applyFont="1" applyFill="1" applyBorder="1" applyAlignment="1"/>
    <xf numFmtId="0" fontId="108" fillId="31" borderId="11" xfId="0" applyFont="1" applyFill="1" applyBorder="1" applyAlignment="1"/>
    <xf numFmtId="189" fontId="108" fillId="31" borderId="11" xfId="0" applyNumberFormat="1" applyFont="1" applyFill="1" applyBorder="1" applyAlignment="1"/>
    <xf numFmtId="41" fontId="107" fillId="31" borderId="11" xfId="0" applyNumberFormat="1" applyFont="1" applyFill="1" applyBorder="1" applyAlignment="1"/>
    <xf numFmtId="0" fontId="86" fillId="0" borderId="1" xfId="0" applyFont="1" applyBorder="1" applyAlignment="1"/>
    <xf numFmtId="0" fontId="79" fillId="0" borderId="4" xfId="0" applyFont="1" applyBorder="1" applyAlignment="1">
      <alignment horizontal="center" wrapText="1"/>
    </xf>
    <xf numFmtId="188" fontId="79" fillId="2" borderId="4" xfId="0" applyNumberFormat="1" applyFont="1" applyFill="1" applyBorder="1" applyAlignment="1"/>
    <xf numFmtId="187" fontId="76" fillId="32" borderId="5" xfId="0" applyNumberFormat="1" applyFont="1" applyFill="1" applyBorder="1" applyAlignment="1"/>
    <xf numFmtId="187" fontId="77" fillId="32" borderId="1" xfId="0" applyNumberFormat="1" applyFont="1" applyFill="1" applyBorder="1" applyAlignment="1"/>
    <xf numFmtId="0" fontId="77" fillId="32" borderId="1" xfId="0" applyFont="1" applyFill="1" applyBorder="1" applyAlignment="1"/>
    <xf numFmtId="0" fontId="77" fillId="32" borderId="4" xfId="0" applyFont="1" applyFill="1" applyBorder="1" applyAlignment="1"/>
    <xf numFmtId="0" fontId="79" fillId="32" borderId="4" xfId="0" applyFont="1" applyFill="1" applyBorder="1" applyAlignment="1"/>
    <xf numFmtId="189" fontId="79" fillId="32" borderId="4" xfId="0" applyNumberFormat="1" applyFont="1" applyFill="1" applyBorder="1" applyAlignment="1"/>
    <xf numFmtId="188" fontId="79" fillId="32" borderId="4" xfId="0" applyNumberFormat="1" applyFont="1" applyFill="1" applyBorder="1" applyAlignment="1"/>
    <xf numFmtId="187" fontId="76" fillId="33" borderId="9" xfId="0" applyNumberFormat="1" applyFont="1" applyFill="1" applyBorder="1" applyAlignment="1"/>
    <xf numFmtId="187" fontId="77" fillId="33" borderId="10" xfId="0" applyNumberFormat="1" applyFont="1" applyFill="1" applyBorder="1" applyAlignment="1"/>
    <xf numFmtId="0" fontId="77" fillId="33" borderId="10" xfId="0" applyFont="1" applyFill="1" applyBorder="1" applyAlignment="1"/>
    <xf numFmtId="0" fontId="79" fillId="33" borderId="11" xfId="0" applyFont="1" applyFill="1" applyBorder="1" applyAlignment="1"/>
    <xf numFmtId="189" fontId="79" fillId="33" borderId="11" xfId="0" applyNumberFormat="1" applyFont="1" applyFill="1" applyBorder="1" applyAlignment="1"/>
    <xf numFmtId="188" fontId="79" fillId="33" borderId="11" xfId="0" applyNumberFormat="1" applyFont="1" applyFill="1" applyBorder="1" applyAlignment="1"/>
    <xf numFmtId="187" fontId="77" fillId="34" borderId="9" xfId="0" applyNumberFormat="1" applyFont="1" applyFill="1" applyBorder="1" applyAlignment="1"/>
    <xf numFmtId="0" fontId="76" fillId="34" borderId="10" xfId="0" applyFont="1" applyFill="1" applyBorder="1" applyAlignment="1"/>
    <xf numFmtId="187" fontId="77" fillId="34" borderId="10" xfId="0" applyNumberFormat="1" applyFont="1" applyFill="1" applyBorder="1" applyAlignment="1"/>
    <xf numFmtId="0" fontId="77" fillId="34" borderId="10" xfId="0" applyFont="1" applyFill="1" applyBorder="1" applyAlignment="1"/>
    <xf numFmtId="0" fontId="77" fillId="34" borderId="11" xfId="0" applyFont="1" applyFill="1" applyBorder="1" applyAlignment="1"/>
    <xf numFmtId="0" fontId="81" fillId="34" borderId="11" xfId="0" applyFont="1" applyFill="1" applyBorder="1" applyAlignment="1">
      <alignment horizontal="center" wrapText="1"/>
    </xf>
    <xf numFmtId="189" fontId="81" fillId="34" borderId="11" xfId="0" applyNumberFormat="1" applyFont="1" applyFill="1" applyBorder="1" applyAlignment="1"/>
    <xf numFmtId="188" fontId="81" fillId="34" borderId="11" xfId="0" applyNumberFormat="1" applyFont="1" applyFill="1" applyBorder="1" applyAlignment="1"/>
    <xf numFmtId="188" fontId="79" fillId="34" borderId="11" xfId="0" applyNumberFormat="1" applyFont="1" applyFill="1" applyBorder="1" applyAlignment="1"/>
    <xf numFmtId="187" fontId="77" fillId="2" borderId="12" xfId="0" applyNumberFormat="1" applyFont="1" applyFill="1" applyBorder="1" applyAlignment="1"/>
    <xf numFmtId="187" fontId="77" fillId="2" borderId="13" xfId="0" applyNumberFormat="1" applyFont="1" applyFill="1" applyBorder="1" applyAlignment="1"/>
    <xf numFmtId="0" fontId="86" fillId="2" borderId="14" xfId="0" applyFont="1" applyFill="1" applyBorder="1" applyAlignment="1">
      <alignment horizontal="center" wrapText="1"/>
    </xf>
    <xf numFmtId="188" fontId="77" fillId="2" borderId="14" xfId="0" applyNumberFormat="1" applyFont="1" applyFill="1" applyBorder="1" applyAlignment="1"/>
    <xf numFmtId="0" fontId="80" fillId="21" borderId="0" xfId="0" quotePrefix="1" applyFont="1" applyFill="1" applyAlignment="1"/>
    <xf numFmtId="0" fontId="77" fillId="21" borderId="0" xfId="0" applyFont="1" applyFill="1" applyAlignment="1"/>
    <xf numFmtId="0" fontId="77" fillId="21" borderId="3" xfId="0" applyFont="1" applyFill="1" applyBorder="1" applyAlignment="1"/>
    <xf numFmtId="187" fontId="79" fillId="0" borderId="15" xfId="0" applyNumberFormat="1" applyFont="1" applyBorder="1" applyAlignment="1">
      <alignment horizontal="center"/>
    </xf>
    <xf numFmtId="187" fontId="77" fillId="0" borderId="20" xfId="0" applyNumberFormat="1" applyFont="1" applyBorder="1" applyAlignment="1"/>
    <xf numFmtId="0" fontId="77" fillId="0" borderId="21" xfId="0" applyFont="1" applyBorder="1" applyAlignment="1"/>
    <xf numFmtId="0" fontId="86" fillId="0" borderId="21" xfId="0" applyFont="1" applyBorder="1" applyAlignment="1"/>
    <xf numFmtId="0" fontId="77" fillId="0" borderId="22" xfId="0" applyFont="1" applyBorder="1" applyAlignment="1"/>
    <xf numFmtId="0" fontId="79" fillId="0" borderId="23" xfId="0" applyFont="1" applyBorder="1" applyAlignment="1">
      <alignment horizontal="center"/>
    </xf>
    <xf numFmtId="189" fontId="79" fillId="2" borderId="22" xfId="0" applyNumberFormat="1" applyFont="1" applyFill="1" applyBorder="1" applyAlignment="1"/>
    <xf numFmtId="189" fontId="79" fillId="22" borderId="22" xfId="0" applyNumberFormat="1" applyFont="1" applyFill="1" applyBorder="1" applyAlignment="1"/>
    <xf numFmtId="188" fontId="79" fillId="2" borderId="22" xfId="0" applyNumberFormat="1" applyFont="1" applyFill="1" applyBorder="1" applyAlignment="1"/>
    <xf numFmtId="188" fontId="79" fillId="0" borderId="22" xfId="0" applyNumberFormat="1" applyFont="1" applyBorder="1" applyAlignment="1"/>
    <xf numFmtId="0" fontId="76" fillId="35" borderId="9" xfId="0" applyFont="1" applyFill="1" applyBorder="1" applyAlignment="1"/>
    <xf numFmtId="0" fontId="77" fillId="35" borderId="10" xfId="0" applyFont="1" applyFill="1" applyBorder="1" applyAlignment="1"/>
    <xf numFmtId="0" fontId="77" fillId="35" borderId="11" xfId="0" applyFont="1" applyFill="1" applyBorder="1" applyAlignment="1"/>
    <xf numFmtId="0" fontId="79" fillId="35" borderId="11" xfId="0" applyFont="1" applyFill="1" applyBorder="1" applyAlignment="1"/>
    <xf numFmtId="189" fontId="79" fillId="35" borderId="11" xfId="0" applyNumberFormat="1" applyFont="1" applyFill="1" applyBorder="1" applyAlignment="1"/>
    <xf numFmtId="188" fontId="79" fillId="35" borderId="11" xfId="0" applyNumberFormat="1" applyFont="1" applyFill="1" applyBorder="1" applyAlignment="1"/>
    <xf numFmtId="188" fontId="81" fillId="35" borderId="11" xfId="0" applyNumberFormat="1" applyFont="1" applyFill="1" applyBorder="1" applyAlignment="1"/>
    <xf numFmtId="0" fontId="76" fillId="36" borderId="9" xfId="0" applyFont="1" applyFill="1" applyBorder="1" applyAlignment="1"/>
    <xf numFmtId="0" fontId="77" fillId="36" borderId="10" xfId="0" applyFont="1" applyFill="1" applyBorder="1" applyAlignment="1"/>
    <xf numFmtId="0" fontId="79" fillId="36" borderId="10" xfId="0" applyFont="1" applyFill="1" applyBorder="1" applyAlignment="1"/>
    <xf numFmtId="189" fontId="79" fillId="36" borderId="10" xfId="0" applyNumberFormat="1" applyFont="1" applyFill="1" applyBorder="1" applyAlignment="1"/>
    <xf numFmtId="188" fontId="79" fillId="36" borderId="10" xfId="0" applyNumberFormat="1" applyFont="1" applyFill="1" applyBorder="1" applyAlignment="1"/>
    <xf numFmtId="188" fontId="79" fillId="36" borderId="11" xfId="0" applyNumberFormat="1" applyFont="1" applyFill="1" applyBorder="1" applyAlignment="1"/>
    <xf numFmtId="0" fontId="77" fillId="36" borderId="11" xfId="0" applyFont="1" applyFill="1" applyBorder="1" applyAlignment="1"/>
    <xf numFmtId="0" fontId="79" fillId="36" borderId="11" xfId="0" applyFont="1" applyFill="1" applyBorder="1" applyAlignment="1"/>
    <xf numFmtId="189" fontId="79" fillId="36" borderId="11" xfId="0" applyNumberFormat="1" applyFont="1" applyFill="1" applyBorder="1" applyAlignment="1"/>
    <xf numFmtId="187" fontId="76" fillId="37" borderId="10" xfId="0" applyNumberFormat="1" applyFont="1" applyFill="1" applyBorder="1" applyAlignment="1">
      <alignment wrapText="1"/>
    </xf>
    <xf numFmtId="187" fontId="76" fillId="37" borderId="10" xfId="0" applyNumberFormat="1" applyFont="1" applyFill="1" applyBorder="1" applyAlignment="1"/>
    <xf numFmtId="0" fontId="77" fillId="37" borderId="10" xfId="0" applyFont="1" applyFill="1" applyBorder="1" applyAlignment="1"/>
    <xf numFmtId="0" fontId="77" fillId="37" borderId="11" xfId="0" applyFont="1" applyFill="1" applyBorder="1" applyAlignment="1"/>
    <xf numFmtId="0" fontId="81" fillId="37" borderId="11" xfId="0" applyFont="1" applyFill="1" applyBorder="1" applyAlignment="1">
      <alignment horizontal="center"/>
    </xf>
    <xf numFmtId="189" fontId="81" fillId="37" borderId="11" xfId="0" applyNumberFormat="1" applyFont="1" applyFill="1" applyBorder="1" applyAlignment="1"/>
    <xf numFmtId="188" fontId="81" fillId="37" borderId="11" xfId="0" applyNumberFormat="1" applyFont="1" applyFill="1" applyBorder="1" applyAlignment="1"/>
    <xf numFmtId="188" fontId="79" fillId="37" borderId="11" xfId="0" applyNumberFormat="1" applyFont="1" applyFill="1" applyBorder="1" applyAlignment="1"/>
    <xf numFmtId="0" fontId="77" fillId="37" borderId="9" xfId="0" applyFont="1" applyFill="1" applyBorder="1" applyAlignment="1"/>
    <xf numFmtId="0" fontId="80" fillId="2" borderId="13" xfId="0" applyFont="1" applyFill="1" applyBorder="1" applyAlignment="1"/>
    <xf numFmtId="0" fontId="78" fillId="0" borderId="13" xfId="0" applyFont="1" applyBorder="1"/>
    <xf numFmtId="187" fontId="79" fillId="2" borderId="9" xfId="0" applyNumberFormat="1" applyFont="1" applyFill="1" applyBorder="1" applyAlignment="1"/>
    <xf numFmtId="187" fontId="79" fillId="2" borderId="10" xfId="0" applyNumberFormat="1" applyFont="1" applyFill="1" applyBorder="1" applyAlignment="1"/>
    <xf numFmtId="0" fontId="79" fillId="2" borderId="10" xfId="0" applyFont="1" applyFill="1" applyBorder="1" applyAlignment="1"/>
    <xf numFmtId="0" fontId="79" fillId="0" borderId="0" xfId="0" applyFont="1" applyAlignment="1"/>
    <xf numFmtId="0" fontId="80" fillId="21" borderId="13" xfId="0" quotePrefix="1" applyFont="1" applyFill="1" applyBorder="1" applyAlignment="1"/>
    <xf numFmtId="0" fontId="77" fillId="21" borderId="13" xfId="0" applyFont="1" applyFill="1" applyBorder="1" applyAlignment="1"/>
    <xf numFmtId="0" fontId="77" fillId="21" borderId="14" xfId="0" applyFont="1" applyFill="1" applyBorder="1" applyAlignment="1"/>
    <xf numFmtId="0" fontId="79" fillId="0" borderId="14" xfId="0" applyFont="1" applyBorder="1" applyAlignment="1"/>
    <xf numFmtId="189" fontId="79" fillId="2" borderId="11" xfId="0" applyNumberFormat="1" applyFont="1" applyFill="1" applyBorder="1" applyAlignment="1">
      <alignment horizontal="right"/>
    </xf>
    <xf numFmtId="189" fontId="79" fillId="22" borderId="11" xfId="0" applyNumberFormat="1" applyFont="1" applyFill="1" applyBorder="1" applyAlignment="1">
      <alignment horizontal="right"/>
    </xf>
    <xf numFmtId="187" fontId="81" fillId="37" borderId="13" xfId="0" applyNumberFormat="1" applyFont="1" applyFill="1" applyBorder="1" applyAlignment="1">
      <alignment horizontal="right"/>
    </xf>
    <xf numFmtId="0" fontId="81" fillId="37" borderId="13" xfId="0" applyFont="1" applyFill="1" applyBorder="1" applyAlignment="1"/>
    <xf numFmtId="0" fontId="79" fillId="37" borderId="13" xfId="0" applyFont="1" applyFill="1" applyBorder="1" applyAlignment="1"/>
    <xf numFmtId="0" fontId="79" fillId="37" borderId="14" xfId="0" applyFont="1" applyFill="1" applyBorder="1" applyAlignment="1"/>
    <xf numFmtId="0" fontId="81" fillId="37" borderId="14" xfId="0" applyFont="1" applyFill="1" applyBorder="1" applyAlignment="1">
      <alignment horizontal="center"/>
    </xf>
    <xf numFmtId="189" fontId="81" fillId="37" borderId="14" xfId="0" applyNumberFormat="1" applyFont="1" applyFill="1" applyBorder="1" applyAlignment="1"/>
    <xf numFmtId="188" fontId="81" fillId="37" borderId="14" xfId="0" applyNumberFormat="1" applyFont="1" applyFill="1" applyBorder="1" applyAlignment="1"/>
    <xf numFmtId="188" fontId="79" fillId="37" borderId="14" xfId="0" applyNumberFormat="1" applyFont="1" applyFill="1" applyBorder="1" applyAlignment="1"/>
    <xf numFmtId="0" fontId="79" fillId="37" borderId="9" xfId="0" applyFont="1" applyFill="1" applyBorder="1" applyAlignment="1"/>
    <xf numFmtId="187" fontId="79" fillId="37" borderId="10" xfId="0" applyNumberFormat="1" applyFont="1" applyFill="1" applyBorder="1" applyAlignment="1"/>
    <xf numFmtId="0" fontId="79" fillId="37" borderId="10" xfId="0" applyFont="1" applyFill="1" applyBorder="1" applyAlignment="1"/>
    <xf numFmtId="0" fontId="79" fillId="37" borderId="11" xfId="0" applyFont="1" applyFill="1" applyBorder="1" applyAlignment="1"/>
    <xf numFmtId="190" fontId="79" fillId="2" borderId="9" xfId="0" applyNumberFormat="1" applyFont="1" applyFill="1" applyBorder="1" applyAlignment="1"/>
    <xf numFmtId="0" fontId="111" fillId="2" borderId="10" xfId="0" applyFont="1" applyFill="1" applyBorder="1" applyAlignment="1"/>
    <xf numFmtId="187" fontId="81" fillId="0" borderId="11" xfId="0" applyNumberFormat="1" applyFont="1" applyBorder="1" applyAlignment="1">
      <alignment horizontal="center" wrapText="1"/>
    </xf>
    <xf numFmtId="190" fontId="84" fillId="2" borderId="9" xfId="0" applyNumberFormat="1" applyFont="1" applyFill="1" applyBorder="1" applyAlignment="1"/>
    <xf numFmtId="0" fontId="84" fillId="2" borderId="10" xfId="0" applyFont="1" applyFill="1" applyBorder="1" applyAlignment="1"/>
    <xf numFmtId="0" fontId="84" fillId="0" borderId="10" xfId="0" applyFont="1" applyBorder="1" applyAlignment="1"/>
    <xf numFmtId="0" fontId="84" fillId="2" borderId="11" xfId="0" applyFont="1" applyFill="1" applyBorder="1" applyAlignment="1"/>
    <xf numFmtId="0" fontId="84" fillId="0" borderId="0" xfId="0" applyFont="1" applyAlignment="1"/>
    <xf numFmtId="187" fontId="84" fillId="2" borderId="10" xfId="0" applyNumberFormat="1" applyFont="1" applyFill="1" applyBorder="1" applyAlignment="1"/>
    <xf numFmtId="0" fontId="112" fillId="2" borderId="10" xfId="0" applyFont="1" applyFill="1" applyBorder="1" applyAlignment="1"/>
    <xf numFmtId="187" fontId="79" fillId="0" borderId="9" xfId="0" applyNumberFormat="1" applyFont="1" applyBorder="1" applyAlignment="1"/>
    <xf numFmtId="187" fontId="79" fillId="0" borderId="10" xfId="0" applyNumberFormat="1" applyFont="1" applyBorder="1" applyAlignment="1"/>
    <xf numFmtId="187" fontId="111" fillId="21" borderId="10" xfId="0" applyNumberFormat="1" applyFont="1" applyFill="1" applyBorder="1" applyAlignment="1"/>
    <xf numFmtId="187" fontId="79" fillId="21" borderId="10" xfId="0" applyNumberFormat="1" applyFont="1" applyFill="1" applyBorder="1" applyAlignment="1"/>
    <xf numFmtId="0" fontId="79" fillId="21" borderId="10" xfId="0" applyFont="1" applyFill="1" applyBorder="1" applyAlignment="1"/>
    <xf numFmtId="0" fontId="79" fillId="21" borderId="11" xfId="0" applyFont="1" applyFill="1" applyBorder="1" applyAlignment="1"/>
    <xf numFmtId="187" fontId="84" fillId="0" borderId="9" xfId="0" applyNumberFormat="1" applyFont="1" applyBorder="1" applyAlignment="1"/>
    <xf numFmtId="187" fontId="84" fillId="0" borderId="10" xfId="0" applyNumberFormat="1" applyFont="1" applyBorder="1" applyAlignment="1"/>
    <xf numFmtId="0" fontId="113" fillId="2" borderId="11" xfId="0" applyFont="1" applyFill="1" applyBorder="1" applyAlignment="1"/>
    <xf numFmtId="187" fontId="111" fillId="21" borderId="10" xfId="0" quotePrefix="1" applyNumberFormat="1" applyFont="1" applyFill="1" applyBorder="1" applyAlignment="1"/>
    <xf numFmtId="187" fontId="81" fillId="0" borderId="10" xfId="0" applyNumberFormat="1" applyFont="1" applyBorder="1" applyAlignment="1"/>
    <xf numFmtId="187" fontId="96" fillId="37" borderId="13" xfId="0" applyNumberFormat="1" applyFont="1" applyFill="1" applyBorder="1" applyAlignment="1">
      <alignment horizontal="right"/>
    </xf>
    <xf numFmtId="187" fontId="96" fillId="37" borderId="13" xfId="0" applyNumberFormat="1" applyFont="1" applyFill="1" applyBorder="1" applyAlignment="1"/>
    <xf numFmtId="187" fontId="84" fillId="37" borderId="13" xfId="0" applyNumberFormat="1" applyFont="1" applyFill="1" applyBorder="1" applyAlignment="1"/>
    <xf numFmtId="0" fontId="84" fillId="37" borderId="13" xfId="0" applyFont="1" applyFill="1" applyBorder="1" applyAlignment="1"/>
    <xf numFmtId="0" fontId="84" fillId="37" borderId="14" xfId="0" applyFont="1" applyFill="1" applyBorder="1" applyAlignment="1"/>
    <xf numFmtId="0" fontId="96" fillId="37" borderId="14" xfId="0" applyFont="1" applyFill="1" applyBorder="1" applyAlignment="1">
      <alignment horizontal="center"/>
    </xf>
    <xf numFmtId="189" fontId="96" fillId="37" borderId="14" xfId="0" applyNumberFormat="1" applyFont="1" applyFill="1" applyBorder="1" applyAlignment="1"/>
    <xf numFmtId="188" fontId="96" fillId="37" borderId="14" xfId="0" applyNumberFormat="1" applyFont="1" applyFill="1" applyBorder="1" applyAlignment="1"/>
    <xf numFmtId="188" fontId="84" fillId="37" borderId="14" xfId="0" applyNumberFormat="1" applyFont="1" applyFill="1" applyBorder="1" applyAlignment="1"/>
    <xf numFmtId="0" fontId="84" fillId="37" borderId="9" xfId="0" applyFont="1" applyFill="1" applyBorder="1" applyAlignment="1"/>
    <xf numFmtId="187" fontId="84" fillId="37" borderId="10" xfId="0" applyNumberFormat="1" applyFont="1" applyFill="1" applyBorder="1" applyAlignment="1"/>
    <xf numFmtId="0" fontId="84" fillId="37" borderId="10" xfId="0" applyFont="1" applyFill="1" applyBorder="1" applyAlignment="1"/>
    <xf numFmtId="0" fontId="84" fillId="37" borderId="11" xfId="0" applyFont="1" applyFill="1" applyBorder="1" applyAlignment="1"/>
    <xf numFmtId="0" fontId="96" fillId="37" borderId="11" xfId="0" applyFont="1" applyFill="1" applyBorder="1" applyAlignment="1">
      <alignment horizontal="center"/>
    </xf>
    <xf numFmtId="189" fontId="96" fillId="37" borderId="11" xfId="0" applyNumberFormat="1" applyFont="1" applyFill="1" applyBorder="1" applyAlignment="1"/>
    <xf numFmtId="188" fontId="96" fillId="37" borderId="11" xfId="0" applyNumberFormat="1" applyFont="1" applyFill="1" applyBorder="1" applyAlignment="1"/>
    <xf numFmtId="188" fontId="84" fillId="37" borderId="11" xfId="0" applyNumberFormat="1" applyFont="1" applyFill="1" applyBorder="1" applyAlignment="1"/>
    <xf numFmtId="0" fontId="114" fillId="2" borderId="10" xfId="0" applyFont="1" applyFill="1" applyBorder="1" applyAlignment="1"/>
    <xf numFmtId="187" fontId="96" fillId="0" borderId="11" xfId="0" applyNumberFormat="1" applyFont="1" applyBorder="1" applyAlignment="1">
      <alignment horizontal="center" wrapText="1"/>
    </xf>
    <xf numFmtId="188" fontId="96" fillId="2" borderId="11" xfId="0" applyNumberFormat="1" applyFont="1" applyFill="1" applyBorder="1" applyAlignment="1"/>
    <xf numFmtId="0" fontId="115" fillId="2" borderId="10" xfId="0" applyFont="1" applyFill="1" applyBorder="1" applyAlignment="1"/>
    <xf numFmtId="187" fontId="84" fillId="2" borderId="9" xfId="0" applyNumberFormat="1" applyFont="1" applyFill="1" applyBorder="1" applyAlignment="1"/>
    <xf numFmtId="0" fontId="114" fillId="21" borderId="10" xfId="0" quotePrefix="1" applyFont="1" applyFill="1" applyBorder="1" applyAlignment="1"/>
    <xf numFmtId="0" fontId="84" fillId="21" borderId="10" xfId="0" applyFont="1" applyFill="1" applyBorder="1" applyAlignment="1"/>
    <xf numFmtId="0" fontId="84" fillId="21" borderId="11" xfId="0" applyFont="1" applyFill="1" applyBorder="1" applyAlignment="1"/>
    <xf numFmtId="0" fontId="84" fillId="0" borderId="11" xfId="0" applyFont="1" applyBorder="1" applyAlignment="1">
      <alignment horizontal="center" wrapText="1"/>
    </xf>
    <xf numFmtId="0" fontId="96" fillId="0" borderId="11" xfId="0" applyFont="1" applyBorder="1" applyAlignment="1">
      <alignment horizontal="center" wrapText="1"/>
    </xf>
    <xf numFmtId="189" fontId="96" fillId="2" borderId="11" xfId="0" applyNumberFormat="1" applyFont="1" applyFill="1" applyBorder="1" applyAlignment="1"/>
    <xf numFmtId="188" fontId="96" fillId="0" borderId="11" xfId="0" applyNumberFormat="1" applyFont="1" applyBorder="1" applyAlignment="1"/>
    <xf numFmtId="0" fontId="76" fillId="38" borderId="9" xfId="0" applyFont="1" applyFill="1" applyBorder="1" applyAlignment="1"/>
    <xf numFmtId="187" fontId="77" fillId="38" borderId="10" xfId="0" applyNumberFormat="1" applyFont="1" applyFill="1" applyBorder="1" applyAlignment="1"/>
    <xf numFmtId="0" fontId="77" fillId="38" borderId="10" xfId="0" applyFont="1" applyFill="1" applyBorder="1" applyAlignment="1"/>
    <xf numFmtId="0" fontId="77" fillId="38" borderId="11" xfId="0" applyFont="1" applyFill="1" applyBorder="1" applyAlignment="1"/>
    <xf numFmtId="0" fontId="79" fillId="38" borderId="11" xfId="0" applyFont="1" applyFill="1" applyBorder="1" applyAlignment="1"/>
    <xf numFmtId="189" fontId="79" fillId="38" borderId="11" xfId="0" applyNumberFormat="1" applyFont="1" applyFill="1" applyBorder="1" applyAlignment="1"/>
    <xf numFmtId="188" fontId="79" fillId="38" borderId="11" xfId="0" applyNumberFormat="1" applyFont="1" applyFill="1" applyBorder="1" applyAlignment="1"/>
    <xf numFmtId="187" fontId="81" fillId="39" borderId="13" xfId="0" applyNumberFormat="1" applyFont="1" applyFill="1" applyBorder="1" applyAlignment="1">
      <alignment horizontal="right"/>
    </xf>
    <xf numFmtId="187" fontId="81" fillId="39" borderId="13" xfId="0" applyNumberFormat="1" applyFont="1" applyFill="1" applyBorder="1" applyAlignment="1"/>
    <xf numFmtId="187" fontId="79" fillId="39" borderId="13" xfId="0" applyNumberFormat="1" applyFont="1" applyFill="1" applyBorder="1" applyAlignment="1"/>
    <xf numFmtId="0" fontId="79" fillId="39" borderId="13" xfId="0" applyFont="1" applyFill="1" applyBorder="1" applyAlignment="1"/>
    <xf numFmtId="0" fontId="79" fillId="39" borderId="14" xfId="0" applyFont="1" applyFill="1" applyBorder="1" applyAlignment="1"/>
    <xf numFmtId="189" fontId="79" fillId="39" borderId="14" xfId="0" applyNumberFormat="1" applyFont="1" applyFill="1" applyBorder="1" applyAlignment="1"/>
    <xf numFmtId="188" fontId="79" fillId="39" borderId="14" xfId="0" applyNumberFormat="1" applyFont="1" applyFill="1" applyBorder="1" applyAlignment="1"/>
    <xf numFmtId="190" fontId="79" fillId="40" borderId="9" xfId="0" applyNumberFormat="1" applyFont="1" applyFill="1" applyBorder="1" applyAlignment="1"/>
    <xf numFmtId="0" fontId="81" fillId="40" borderId="10" xfId="0" applyFont="1" applyFill="1" applyBorder="1" applyAlignment="1"/>
    <xf numFmtId="0" fontId="79" fillId="40" borderId="10" xfId="0" applyFont="1" applyFill="1" applyBorder="1" applyAlignment="1"/>
    <xf numFmtId="0" fontId="79" fillId="40" borderId="11" xfId="0" applyFont="1" applyFill="1" applyBorder="1" applyAlignment="1"/>
    <xf numFmtId="187" fontId="81" fillId="40" borderId="11" xfId="0" applyNumberFormat="1" applyFont="1" applyFill="1" applyBorder="1" applyAlignment="1">
      <alignment horizontal="center"/>
    </xf>
    <xf numFmtId="189" fontId="81" fillId="40" borderId="11" xfId="0" applyNumberFormat="1" applyFont="1" applyFill="1" applyBorder="1" applyAlignment="1"/>
    <xf numFmtId="188" fontId="81" fillId="40" borderId="11" xfId="0" applyNumberFormat="1" applyFont="1" applyFill="1" applyBorder="1" applyAlignment="1"/>
    <xf numFmtId="188" fontId="79" fillId="40" borderId="11" xfId="0" applyNumberFormat="1" applyFont="1" applyFill="1" applyBorder="1" applyAlignment="1"/>
    <xf numFmtId="0" fontId="111" fillId="21" borderId="10" xfId="0" quotePrefix="1" applyFont="1" applyFill="1" applyBorder="1" applyAlignment="1"/>
    <xf numFmtId="0" fontId="79" fillId="2" borderId="0" xfId="0" applyFont="1" applyFill="1" applyAlignment="1"/>
    <xf numFmtId="0" fontId="116" fillId="2" borderId="10" xfId="0" applyFont="1" applyFill="1" applyBorder="1" applyAlignment="1"/>
    <xf numFmtId="0" fontId="81" fillId="39" borderId="13" xfId="0" applyFont="1" applyFill="1" applyBorder="1" applyAlignment="1"/>
    <xf numFmtId="0" fontId="81" fillId="39" borderId="14" xfId="0" applyFont="1" applyFill="1" applyBorder="1" applyAlignment="1">
      <alignment horizontal="center"/>
    </xf>
    <xf numFmtId="189" fontId="81" fillId="39" borderId="14" xfId="0" applyNumberFormat="1" applyFont="1" applyFill="1" applyBorder="1" applyAlignment="1"/>
    <xf numFmtId="188" fontId="81" fillId="39" borderId="14" xfId="0" applyNumberFormat="1" applyFont="1" applyFill="1" applyBorder="1" applyAlignment="1"/>
    <xf numFmtId="190" fontId="79" fillId="2" borderId="12" xfId="0" applyNumberFormat="1" applyFont="1" applyFill="1" applyBorder="1" applyAlignment="1"/>
    <xf numFmtId="0" fontId="79" fillId="2" borderId="13" xfId="0" applyFont="1" applyFill="1" applyBorder="1" applyAlignment="1"/>
    <xf numFmtId="0" fontId="111" fillId="2" borderId="13" xfId="0" applyFont="1" applyFill="1" applyBorder="1" applyAlignment="1"/>
    <xf numFmtId="0" fontId="79" fillId="2" borderId="14" xfId="0" applyFont="1" applyFill="1" applyBorder="1" applyAlignment="1"/>
    <xf numFmtId="187" fontId="79" fillId="40" borderId="9" xfId="0" applyNumberFormat="1" applyFont="1" applyFill="1" applyBorder="1" applyAlignment="1"/>
    <xf numFmtId="187" fontId="81" fillId="40" borderId="10" xfId="0" applyNumberFormat="1" applyFont="1" applyFill="1" applyBorder="1" applyAlignment="1"/>
    <xf numFmtId="187" fontId="79" fillId="40" borderId="10" xfId="0" applyNumberFormat="1" applyFont="1" applyFill="1" applyBorder="1" applyAlignment="1"/>
    <xf numFmtId="0" fontId="81" fillId="40" borderId="11" xfId="0" applyFont="1" applyFill="1" applyBorder="1" applyAlignment="1">
      <alignment horizontal="center" wrapText="1"/>
    </xf>
    <xf numFmtId="187" fontId="79" fillId="0" borderId="2" xfId="0" applyNumberFormat="1" applyFont="1" applyBorder="1" applyAlignment="1"/>
    <xf numFmtId="187" fontId="79" fillId="0" borderId="0" xfId="0" applyNumberFormat="1" applyFont="1" applyAlignment="1"/>
    <xf numFmtId="0" fontId="79" fillId="0" borderId="3" xfId="0" applyFont="1" applyBorder="1" applyAlignment="1"/>
    <xf numFmtId="0" fontId="79" fillId="0" borderId="3" xfId="0" applyFont="1" applyBorder="1" applyAlignment="1">
      <alignment horizontal="center"/>
    </xf>
    <xf numFmtId="189" fontId="79" fillId="0" borderId="3" xfId="0" applyNumberFormat="1" applyFont="1" applyBorder="1" applyAlignment="1"/>
    <xf numFmtId="189" fontId="79" fillId="22" borderId="3" xfId="0" applyNumberFormat="1" applyFont="1" applyFill="1" applyBorder="1" applyAlignment="1"/>
    <xf numFmtId="188" fontId="79" fillId="0" borderId="3" xfId="0" applyNumberFormat="1" applyFont="1" applyBorder="1" applyAlignment="1"/>
    <xf numFmtId="191" fontId="81" fillId="40" borderId="11" xfId="0" applyNumberFormat="1" applyFont="1" applyFill="1" applyBorder="1" applyAlignment="1"/>
    <xf numFmtId="191" fontId="81" fillId="0" borderId="11" xfId="0" applyNumberFormat="1" applyFont="1" applyBorder="1" applyAlignment="1"/>
    <xf numFmtId="187" fontId="79" fillId="0" borderId="10" xfId="0" quotePrefix="1" applyNumberFormat="1" applyFont="1" applyBorder="1" applyAlignment="1"/>
    <xf numFmtId="187" fontId="117" fillId="40" borderId="10" xfId="0" applyNumberFormat="1" applyFont="1" applyFill="1" applyBorder="1" applyAlignment="1"/>
    <xf numFmtId="0" fontId="81" fillId="40" borderId="11" xfId="0" applyFont="1" applyFill="1" applyBorder="1" applyAlignment="1">
      <alignment horizontal="center"/>
    </xf>
    <xf numFmtId="187" fontId="84" fillId="41" borderId="9" xfId="0" applyNumberFormat="1" applyFont="1" applyFill="1" applyBorder="1" applyAlignment="1"/>
    <xf numFmtId="187" fontId="84" fillId="41" borderId="10" xfId="0" applyNumberFormat="1" applyFont="1" applyFill="1" applyBorder="1" applyAlignment="1"/>
    <xf numFmtId="187" fontId="96" fillId="41" borderId="10" xfId="0" applyNumberFormat="1" applyFont="1" applyFill="1" applyBorder="1" applyAlignment="1"/>
    <xf numFmtId="0" fontId="84" fillId="41" borderId="10" xfId="0" applyFont="1" applyFill="1" applyBorder="1" applyAlignment="1"/>
    <xf numFmtId="0" fontId="84" fillId="41" borderId="11" xfId="0" applyFont="1" applyFill="1" applyBorder="1" applyAlignment="1"/>
    <xf numFmtId="0" fontId="96" fillId="41" borderId="11" xfId="0" applyFont="1" applyFill="1" applyBorder="1" applyAlignment="1">
      <alignment horizontal="center"/>
    </xf>
    <xf numFmtId="189" fontId="96" fillId="41" borderId="11" xfId="0" applyNumberFormat="1" applyFont="1" applyFill="1" applyBorder="1" applyAlignment="1"/>
    <xf numFmtId="188" fontId="96" fillId="41" borderId="11" xfId="0" applyNumberFormat="1" applyFont="1" applyFill="1" applyBorder="1" applyAlignment="1"/>
    <xf numFmtId="188" fontId="84" fillId="41" borderId="11" xfId="0" applyNumberFormat="1" applyFont="1" applyFill="1" applyBorder="1" applyAlignment="1"/>
    <xf numFmtId="0" fontId="84" fillId="0" borderId="10" xfId="0" quotePrefix="1" applyFont="1" applyBorder="1" applyAlignment="1"/>
    <xf numFmtId="187" fontId="79" fillId="41" borderId="9" xfId="0" applyNumberFormat="1" applyFont="1" applyFill="1" applyBorder="1" applyAlignment="1"/>
    <xf numFmtId="187" fontId="79" fillId="41" borderId="10" xfId="0" applyNumberFormat="1" applyFont="1" applyFill="1" applyBorder="1" applyAlignment="1"/>
    <xf numFmtId="187" fontId="81" fillId="41" borderId="10" xfId="0" applyNumberFormat="1" applyFont="1" applyFill="1" applyBorder="1" applyAlignment="1"/>
    <xf numFmtId="0" fontId="79" fillId="41" borderId="10" xfId="0" applyFont="1" applyFill="1" applyBorder="1" applyAlignment="1"/>
    <xf numFmtId="0" fontId="79" fillId="41" borderId="11" xfId="0" applyFont="1" applyFill="1" applyBorder="1" applyAlignment="1"/>
    <xf numFmtId="0" fontId="81" fillId="41" borderId="11" xfId="0" applyFont="1" applyFill="1" applyBorder="1" applyAlignment="1">
      <alignment horizontal="center"/>
    </xf>
    <xf numFmtId="189" fontId="81" fillId="41" borderId="11" xfId="0" applyNumberFormat="1" applyFont="1" applyFill="1" applyBorder="1" applyAlignment="1"/>
    <xf numFmtId="188" fontId="81" fillId="41" borderId="11" xfId="0" applyNumberFormat="1" applyFont="1" applyFill="1" applyBorder="1" applyAlignment="1"/>
    <xf numFmtId="188" fontId="79" fillId="41" borderId="11" xfId="0" applyNumberFormat="1" applyFont="1" applyFill="1" applyBorder="1" applyAlignment="1"/>
    <xf numFmtId="187" fontId="79" fillId="0" borderId="5" xfId="0" applyNumberFormat="1" applyFont="1" applyBorder="1" applyAlignment="1"/>
    <xf numFmtId="187" fontId="79" fillId="0" borderId="1" xfId="0" applyNumberFormat="1" applyFont="1" applyBorder="1" applyAlignment="1"/>
    <xf numFmtId="0" fontId="79" fillId="0" borderId="4" xfId="0" applyFont="1" applyBorder="1" applyAlignment="1"/>
    <xf numFmtId="187" fontId="81" fillId="39" borderId="7" xfId="0" applyNumberFormat="1" applyFont="1" applyFill="1" applyBorder="1" applyAlignment="1">
      <alignment horizontal="right"/>
    </xf>
    <xf numFmtId="0" fontId="81" fillId="39" borderId="7" xfId="0" applyFont="1" applyFill="1" applyBorder="1" applyAlignment="1"/>
    <xf numFmtId="0" fontId="79" fillId="39" borderId="7" xfId="0" applyFont="1" applyFill="1" applyBorder="1" applyAlignment="1"/>
    <xf numFmtId="0" fontId="79" fillId="39" borderId="8" xfId="0" applyFont="1" applyFill="1" applyBorder="1" applyAlignment="1"/>
    <xf numFmtId="0" fontId="79" fillId="39" borderId="8" xfId="0" applyFont="1" applyFill="1" applyBorder="1" applyAlignment="1">
      <alignment horizontal="center"/>
    </xf>
    <xf numFmtId="189" fontId="81" fillId="39" borderId="8" xfId="0" applyNumberFormat="1" applyFont="1" applyFill="1" applyBorder="1" applyAlignment="1"/>
    <xf numFmtId="188" fontId="81" fillId="39" borderId="8" xfId="0" applyNumberFormat="1" applyFont="1" applyFill="1" applyBorder="1" applyAlignment="1"/>
    <xf numFmtId="188" fontId="79" fillId="39" borderId="8" xfId="0" applyNumberFormat="1" applyFont="1" applyFill="1" applyBorder="1" applyAlignment="1"/>
    <xf numFmtId="0" fontId="79" fillId="2" borderId="9" xfId="0" applyFont="1" applyFill="1" applyBorder="1" applyAlignment="1"/>
    <xf numFmtId="0" fontId="79" fillId="2" borderId="5" xfId="0" applyFont="1" applyFill="1" applyBorder="1" applyAlignment="1"/>
    <xf numFmtId="187" fontId="79" fillId="2" borderId="1" xfId="0" applyNumberFormat="1" applyFont="1" applyFill="1" applyBorder="1" applyAlignment="1"/>
    <xf numFmtId="0" fontId="79" fillId="2" borderId="1" xfId="0" applyFont="1" applyFill="1" applyBorder="1" applyAlignment="1"/>
    <xf numFmtId="0" fontId="81" fillId="39" borderId="7" xfId="0" applyFont="1" applyFill="1" applyBorder="1" applyAlignment="1">
      <alignment horizontal="right"/>
    </xf>
    <xf numFmtId="189" fontId="79" fillId="39" borderId="8" xfId="0" applyNumberFormat="1" applyFont="1" applyFill="1" applyBorder="1" applyAlignment="1"/>
    <xf numFmtId="0" fontId="79" fillId="40" borderId="13" xfId="0" applyFont="1" applyFill="1" applyBorder="1" applyAlignment="1"/>
    <xf numFmtId="0" fontId="81" fillId="40" borderId="13" xfId="0" applyFont="1" applyFill="1" applyBorder="1" applyAlignment="1"/>
    <xf numFmtId="0" fontId="79" fillId="40" borderId="14" xfId="0" applyFont="1" applyFill="1" applyBorder="1" applyAlignment="1"/>
    <xf numFmtId="189" fontId="79" fillId="40" borderId="14" xfId="0" applyNumberFormat="1" applyFont="1" applyFill="1" applyBorder="1" applyAlignment="1"/>
    <xf numFmtId="188" fontId="79" fillId="40" borderId="14" xfId="0" applyNumberFormat="1" applyFont="1" applyFill="1" applyBorder="1" applyAlignment="1"/>
    <xf numFmtId="0" fontId="111" fillId="21" borderId="10" xfId="0" applyFont="1" applyFill="1" applyBorder="1" applyAlignment="1"/>
    <xf numFmtId="187" fontId="79" fillId="2" borderId="11" xfId="0" applyNumberFormat="1" applyFont="1" applyFill="1" applyBorder="1" applyAlignment="1"/>
    <xf numFmtId="192" fontId="79" fillId="2" borderId="11" xfId="0" applyNumberFormat="1" applyFont="1" applyFill="1" applyBorder="1" applyAlignment="1"/>
    <xf numFmtId="187" fontId="81" fillId="2" borderId="11" xfId="0" applyNumberFormat="1" applyFont="1" applyFill="1" applyBorder="1" applyAlignment="1"/>
    <xf numFmtId="0" fontId="79" fillId="0" borderId="5" xfId="0" applyFont="1" applyBorder="1" applyAlignment="1"/>
    <xf numFmtId="0" fontId="118" fillId="0" borderId="1" xfId="0" applyFont="1" applyBorder="1" applyAlignment="1"/>
    <xf numFmtId="187" fontId="79" fillId="2" borderId="4" xfId="0" applyNumberFormat="1" applyFont="1" applyFill="1" applyBorder="1" applyAlignment="1"/>
    <xf numFmtId="192" fontId="79" fillId="2" borderId="4" xfId="0" applyNumberFormat="1" applyFont="1" applyFill="1" applyBorder="1" applyAlignment="1"/>
    <xf numFmtId="0" fontId="96" fillId="39" borderId="7" xfId="0" applyFont="1" applyFill="1" applyBorder="1" applyAlignment="1">
      <alignment horizontal="right"/>
    </xf>
    <xf numFmtId="0" fontId="96" fillId="39" borderId="7" xfId="0" applyFont="1" applyFill="1" applyBorder="1" applyAlignment="1"/>
    <xf numFmtId="0" fontId="84" fillId="39" borderId="7" xfId="0" applyFont="1" applyFill="1" applyBorder="1" applyAlignment="1"/>
    <xf numFmtId="0" fontId="84" fillId="39" borderId="8" xfId="0" applyFont="1" applyFill="1" applyBorder="1" applyAlignment="1"/>
    <xf numFmtId="0" fontId="96" fillId="39" borderId="8" xfId="0" applyFont="1" applyFill="1" applyBorder="1" applyAlignment="1">
      <alignment horizontal="center"/>
    </xf>
    <xf numFmtId="189" fontId="84" fillId="39" borderId="8" xfId="0" applyNumberFormat="1" applyFont="1" applyFill="1" applyBorder="1" applyAlignment="1"/>
    <xf numFmtId="188" fontId="96" fillId="39" borderId="8" xfId="0" applyNumberFormat="1" applyFont="1" applyFill="1" applyBorder="1" applyAlignment="1"/>
    <xf numFmtId="188" fontId="84" fillId="39" borderId="8" xfId="0" applyNumberFormat="1" applyFont="1" applyFill="1" applyBorder="1" applyAlignment="1"/>
    <xf numFmtId="0" fontId="114" fillId="2" borderId="10" xfId="0" applyFont="1" applyFill="1" applyBorder="1" applyAlignment="1"/>
    <xf numFmtId="187" fontId="96" fillId="0" borderId="11" xfId="0" applyNumberFormat="1" applyFont="1" applyBorder="1" applyAlignment="1">
      <alignment horizontal="center"/>
    </xf>
    <xf numFmtId="0" fontId="114" fillId="21" borderId="10" xfId="0" applyFont="1" applyFill="1" applyBorder="1" applyAlignment="1"/>
    <xf numFmtId="0" fontId="96" fillId="39" borderId="13" xfId="0" applyFont="1" applyFill="1" applyBorder="1" applyAlignment="1">
      <alignment horizontal="right"/>
    </xf>
    <xf numFmtId="0" fontId="96" fillId="39" borderId="13" xfId="0" applyFont="1" applyFill="1" applyBorder="1" applyAlignment="1"/>
    <xf numFmtId="0" fontId="84" fillId="39" borderId="13" xfId="0" applyFont="1" applyFill="1" applyBorder="1" applyAlignment="1"/>
    <xf numFmtId="0" fontId="84" fillId="39" borderId="14" xfId="0" applyFont="1" applyFill="1" applyBorder="1" applyAlignment="1"/>
    <xf numFmtId="0" fontId="96" fillId="39" borderId="14" xfId="0" applyFont="1" applyFill="1" applyBorder="1" applyAlignment="1">
      <alignment horizontal="center"/>
    </xf>
    <xf numFmtId="189" fontId="84" fillId="39" borderId="14" xfId="0" applyNumberFormat="1" applyFont="1" applyFill="1" applyBorder="1" applyAlignment="1"/>
    <xf numFmtId="188" fontId="96" fillId="39" borderId="14" xfId="0" applyNumberFormat="1" applyFont="1" applyFill="1" applyBorder="1" applyAlignment="1"/>
    <xf numFmtId="188" fontId="84" fillId="39" borderId="14" xfId="0" applyNumberFormat="1" applyFont="1" applyFill="1" applyBorder="1" applyAlignment="1"/>
    <xf numFmtId="0" fontId="96" fillId="39" borderId="10" xfId="0" applyFont="1" applyFill="1" applyBorder="1" applyAlignment="1">
      <alignment horizontal="right"/>
    </xf>
    <xf numFmtId="0" fontId="96" fillId="39" borderId="10" xfId="0" applyFont="1" applyFill="1" applyBorder="1" applyAlignment="1"/>
    <xf numFmtId="0" fontId="84" fillId="39" borderId="10" xfId="0" applyFont="1" applyFill="1" applyBorder="1" applyAlignment="1"/>
    <xf numFmtId="0" fontId="84" fillId="39" borderId="11" xfId="0" applyFont="1" applyFill="1" applyBorder="1" applyAlignment="1"/>
    <xf numFmtId="0" fontId="96" fillId="39" borderId="11" xfId="0" applyFont="1" applyFill="1" applyBorder="1" applyAlignment="1">
      <alignment horizontal="center"/>
    </xf>
    <xf numFmtId="189" fontId="84" fillId="39" borderId="11" xfId="0" applyNumberFormat="1" applyFont="1" applyFill="1" applyBorder="1" applyAlignment="1"/>
    <xf numFmtId="188" fontId="96" fillId="39" borderId="11" xfId="0" applyNumberFormat="1" applyFont="1" applyFill="1" applyBorder="1" applyAlignment="1"/>
    <xf numFmtId="188" fontId="84" fillId="39" borderId="11" xfId="0" applyNumberFormat="1" applyFont="1" applyFill="1" applyBorder="1" applyAlignment="1"/>
    <xf numFmtId="187" fontId="84" fillId="0" borderId="11" xfId="0" applyNumberFormat="1" applyFont="1" applyBorder="1" applyAlignment="1"/>
    <xf numFmtId="0" fontId="119" fillId="39" borderId="10" xfId="0" applyFont="1" applyFill="1" applyBorder="1" applyAlignment="1">
      <alignment horizontal="right"/>
    </xf>
    <xf numFmtId="187" fontId="117" fillId="39" borderId="10" xfId="0" applyNumberFormat="1" applyFont="1" applyFill="1" applyBorder="1" applyAlignment="1"/>
    <xf numFmtId="0" fontId="79" fillId="39" borderId="10" xfId="0" applyFont="1" applyFill="1" applyBorder="1" applyAlignment="1"/>
    <xf numFmtId="0" fontId="79" fillId="39" borderId="11" xfId="0" applyFont="1" applyFill="1" applyBorder="1" applyAlignment="1"/>
    <xf numFmtId="187" fontId="81" fillId="39" borderId="11" xfId="0" applyNumberFormat="1" applyFont="1" applyFill="1" applyBorder="1" applyAlignment="1">
      <alignment horizontal="center"/>
    </xf>
    <xf numFmtId="189" fontId="79" fillId="39" borderId="11" xfId="0" applyNumberFormat="1" applyFont="1" applyFill="1" applyBorder="1" applyAlignment="1"/>
    <xf numFmtId="189" fontId="81" fillId="39" borderId="11" xfId="0" applyNumberFormat="1" applyFont="1" applyFill="1" applyBorder="1" applyAlignment="1"/>
    <xf numFmtId="188" fontId="81" fillId="39" borderId="11" xfId="0" applyNumberFormat="1" applyFont="1" applyFill="1" applyBorder="1" applyAlignment="1"/>
    <xf numFmtId="188" fontId="79" fillId="39" borderId="11" xfId="0" applyNumberFormat="1" applyFont="1" applyFill="1" applyBorder="1" applyAlignment="1"/>
    <xf numFmtId="187" fontId="79" fillId="0" borderId="11" xfId="0" applyNumberFormat="1" applyFont="1" applyBorder="1" applyAlignment="1"/>
    <xf numFmtId="187" fontId="84" fillId="39" borderId="10" xfId="0" applyNumberFormat="1" applyFont="1" applyFill="1" applyBorder="1" applyAlignment="1"/>
    <xf numFmtId="0" fontId="115" fillId="2" borderId="10" xfId="0" applyFont="1" applyFill="1" applyBorder="1" applyAlignment="1"/>
    <xf numFmtId="187" fontId="114" fillId="21" borderId="10" xfId="0" applyNumberFormat="1" applyFont="1" applyFill="1" applyBorder="1" applyAlignment="1"/>
    <xf numFmtId="187" fontId="84" fillId="2" borderId="24" xfId="0" applyNumberFormat="1" applyFont="1" applyFill="1" applyBorder="1" applyAlignment="1"/>
    <xf numFmtId="187" fontId="84" fillId="2" borderId="25" xfId="0" applyNumberFormat="1" applyFont="1" applyFill="1" applyBorder="1" applyAlignment="1"/>
    <xf numFmtId="0" fontId="84" fillId="2" borderId="25" xfId="0" applyFont="1" applyFill="1" applyBorder="1" applyAlignment="1"/>
    <xf numFmtId="0" fontId="84" fillId="2" borderId="26" xfId="0" applyFont="1" applyFill="1" applyBorder="1" applyAlignment="1"/>
    <xf numFmtId="187" fontId="84" fillId="0" borderId="26" xfId="0" applyNumberFormat="1" applyFont="1" applyBorder="1" applyAlignment="1">
      <alignment horizontal="center" wrapText="1"/>
    </xf>
    <xf numFmtId="189" fontId="84" fillId="2" borderId="26" xfId="0" applyNumberFormat="1" applyFont="1" applyFill="1" applyBorder="1" applyAlignment="1"/>
    <xf numFmtId="188" fontId="84" fillId="2" borderId="26" xfId="0" applyNumberFormat="1" applyFont="1" applyFill="1" applyBorder="1" applyAlignment="1"/>
    <xf numFmtId="0" fontId="81" fillId="10" borderId="9" xfId="0" applyFont="1" applyFill="1" applyBorder="1" applyAlignment="1"/>
    <xf numFmtId="0" fontId="79" fillId="10" borderId="10" xfId="0" applyFont="1" applyFill="1" applyBorder="1" applyAlignment="1"/>
    <xf numFmtId="187" fontId="79" fillId="10" borderId="10" xfId="0" applyNumberFormat="1" applyFont="1" applyFill="1" applyBorder="1" applyAlignment="1"/>
    <xf numFmtId="0" fontId="79" fillId="10" borderId="11" xfId="0" applyFont="1" applyFill="1" applyBorder="1" applyAlignment="1"/>
    <xf numFmtId="0" fontId="81" fillId="10" borderId="11" xfId="0" applyFont="1" applyFill="1" applyBorder="1" applyAlignment="1"/>
    <xf numFmtId="189" fontId="79" fillId="10" borderId="11" xfId="0" applyNumberFormat="1" applyFont="1" applyFill="1" applyBorder="1" applyAlignment="1"/>
    <xf numFmtId="188" fontId="79" fillId="10" borderId="11" xfId="0" applyNumberFormat="1" applyFont="1" applyFill="1" applyBorder="1" applyAlignment="1"/>
    <xf numFmtId="0" fontId="79" fillId="2" borderId="4" xfId="0" applyFont="1" applyFill="1" applyBorder="1" applyAlignment="1"/>
    <xf numFmtId="0" fontId="79" fillId="2" borderId="4" xfId="0" applyFont="1" applyFill="1" applyBorder="1" applyAlignment="1">
      <alignment horizontal="center"/>
    </xf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20.25" customHeight="1">
      <c r="A2" s="839" t="s">
        <v>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20.25" customHeight="1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20.25" customHeight="1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82604862.219999999</v>
      </c>
      <c r="N8" s="22">
        <f t="shared" ca="1" si="0"/>
        <v>59905756.339999974</v>
      </c>
      <c r="O8" s="22">
        <f t="shared" ref="O8:O16" ca="1" si="1">IF(L8&gt;0,N8*100/L8,0)</f>
        <v>64.272259389500078</v>
      </c>
      <c r="P8" s="22">
        <f t="shared" ref="P8:P16" ca="1" si="2">IF(M8&gt;0,N8*100/M8,0)</f>
        <v>72.520859825967733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82604862.219999999</v>
      </c>
      <c r="N10" s="30">
        <f t="shared" ca="1" si="4"/>
        <v>59905756.339999974</v>
      </c>
      <c r="O10" s="30">
        <f t="shared" ca="1" si="1"/>
        <v>64.272259389500078</v>
      </c>
      <c r="P10" s="30">
        <f t="shared" ca="1" si="2"/>
        <v>72.520859825967733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72734430.030000001</v>
      </c>
      <c r="N11" s="38">
        <f t="shared" ca="1" si="5"/>
        <v>50035324.149999976</v>
      </c>
      <c r="O11" s="38">
        <f t="shared" ca="1" si="1"/>
        <v>60.119072058792405</v>
      </c>
      <c r="P11" s="38">
        <f t="shared" ca="1" si="2"/>
        <v>68.791800704786496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72734430.030000001</v>
      </c>
      <c r="N13" s="45">
        <f t="shared" ca="1" si="7"/>
        <v>50035324.149999976</v>
      </c>
      <c r="O13" s="45">
        <f t="shared" ca="1" si="1"/>
        <v>60.119072058792405</v>
      </c>
      <c r="P13" s="45">
        <f t="shared" ca="1" si="2"/>
        <v>68.791800704786496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9870432.1900000013</v>
      </c>
      <c r="N14" s="38">
        <f t="shared" ca="1" si="8"/>
        <v>9870432.1900000013</v>
      </c>
      <c r="O14" s="38">
        <f t="shared" ca="1" si="1"/>
        <v>98.910054814013165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9870432.1900000013</v>
      </c>
      <c r="N16" s="52">
        <f t="shared" ca="1" si="10"/>
        <v>9870432.1900000013</v>
      </c>
      <c r="O16" s="52">
        <f t="shared" ca="1" si="1"/>
        <v>98.910054814013165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59181491.219999999</v>
      </c>
      <c r="N18" s="22">
        <f t="shared" ca="1" si="11"/>
        <v>49245667.159999982</v>
      </c>
      <c r="O18" s="22">
        <f t="shared" ref="O18:O26" ca="1" si="12">IF(L18&gt;0,N18*100/L18,0)</f>
        <v>70.643586067445966</v>
      </c>
      <c r="P18" s="22">
        <f t="shared" ref="P18:P26" ca="1" si="13">IF(M18&gt;0,N18*100/M18,0)</f>
        <v>83.211264442349389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59181491.219999999</v>
      </c>
      <c r="N20" s="30">
        <f t="shared" ca="1" si="15"/>
        <v>49245667.159999982</v>
      </c>
      <c r="O20" s="30">
        <f t="shared" ca="1" si="12"/>
        <v>70.643586067445966</v>
      </c>
      <c r="P20" s="30">
        <f t="shared" ca="1" si="13"/>
        <v>83.211264442349389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49311059.030000001</v>
      </c>
      <c r="N21" s="38">
        <f t="shared" ca="1" si="16"/>
        <v>39375234.969999984</v>
      </c>
      <c r="O21" s="38">
        <f t="shared" ca="1" si="12"/>
        <v>65.921121458326198</v>
      </c>
      <c r="P21" s="38">
        <f t="shared" ca="1" si="13"/>
        <v>79.850718570138127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49311059.030000001</v>
      </c>
      <c r="N23" s="45">
        <f t="shared" ca="1" si="18"/>
        <v>39375234.969999984</v>
      </c>
      <c r="O23" s="45">
        <f t="shared" ca="1" si="12"/>
        <v>65.921121458326198</v>
      </c>
      <c r="P23" s="45">
        <f t="shared" ca="1" si="13"/>
        <v>79.850718570138127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9870432.1900000013</v>
      </c>
      <c r="N24" s="38">
        <f t="shared" ca="1" si="19"/>
        <v>9870432.1900000013</v>
      </c>
      <c r="O24" s="38">
        <f t="shared" ca="1" si="12"/>
        <v>98.910054814013165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9870432.1900000013</v>
      </c>
      <c r="N26" s="52">
        <f t="shared" ca="1" si="21"/>
        <v>9870432.1900000013</v>
      </c>
      <c r="O26" s="52">
        <f t="shared" ca="1" si="12"/>
        <v>98.910054814013165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10660089.179999989</v>
      </c>
      <c r="O28" s="22">
        <f t="shared" ref="O28:O37" ca="1" si="23">IF(L28&gt;0,N28*100/L28,0)</f>
        <v>45.36940443195784</v>
      </c>
      <c r="P28" s="22">
        <f t="shared" ref="P28:P31" ca="1" si="24">IF(M28&gt;0,N28*100/M28,0)</f>
        <v>45.51048258596078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10660089.179999989</v>
      </c>
      <c r="O30" s="30">
        <f t="shared" ca="1" si="23"/>
        <v>45.36940443195784</v>
      </c>
      <c r="P30" s="30">
        <f t="shared" ca="1" si="24"/>
        <v>45.51048258596078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10660089.179999989</v>
      </c>
      <c r="O31" s="38">
        <f t="shared" ca="1" si="23"/>
        <v>45.36940443195784</v>
      </c>
      <c r="P31" s="38">
        <f t="shared" ca="1" si="24"/>
        <v>45.51048258596078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10660089.179999989</v>
      </c>
      <c r="O33" s="45">
        <f t="shared" ca="1" si="23"/>
        <v>45.36940443195784</v>
      </c>
      <c r="P33" s="45">
        <f t="shared" ref="P33:P37" ca="1" si="30">IF(M33&gt;0,N33*100/M33,0)</f>
        <v>45.51048258596078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52933891.219999999</v>
      </c>
      <c r="N37" s="59">
        <f ca="1">N41+N53+N66+N88+N119+N132+N149+N165+N181+N261+N277+N298+N315+N328+N345+N389+N402</f>
        <v>49245667.159999982</v>
      </c>
      <c r="O37" s="59">
        <f t="shared" ca="1" si="23"/>
        <v>70.643586067445966</v>
      </c>
      <c r="P37" s="59">
        <f t="shared" ca="1" si="30"/>
        <v>93.032395739298124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8543955.0299999993</v>
      </c>
      <c r="N41" s="85">
        <f t="shared" ca="1" si="34"/>
        <v>6118765.5700000003</v>
      </c>
      <c r="O41" s="85">
        <f t="shared" ref="O41:O45" ca="1" si="35">IF(L41&gt;0,N41*100/L41,0)</f>
        <v>73.842503316945525</v>
      </c>
      <c r="P41" s="85">
        <f t="shared" ref="P41:P49" ca="1" si="36">IF(M41&gt;0,N41*100/M41,0)</f>
        <v>71.615142501516658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8543955.0299999993</v>
      </c>
      <c r="N43" s="92">
        <f t="shared" ca="1" si="38"/>
        <v>6118765.5700000003</v>
      </c>
      <c r="O43" s="92">
        <f t="shared" ca="1" si="35"/>
        <v>73.842503316945525</v>
      </c>
      <c r="P43" s="92">
        <f t="shared" ca="1" si="36"/>
        <v>71.615142501516658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8543955.0299999993</v>
      </c>
      <c r="N44" s="38">
        <f t="shared" ca="1" si="39"/>
        <v>6118765.5700000003</v>
      </c>
      <c r="O44" s="38">
        <f t="shared" ca="1" si="35"/>
        <v>73.842503316945525</v>
      </c>
      <c r="P44" s="38">
        <f t="shared" ca="1" si="36"/>
        <v>71.615142501516658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"),8543955.03)</f>
        <v>8543955.0299999993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"),6118765.57)</f>
        <v>6118765.5700000003</v>
      </c>
      <c r="O46" s="45">
        <f ca="1">IF(M46&gt;0,N46*100/M46,0)</f>
        <v>71.615142501516658</v>
      </c>
      <c r="P46" s="45">
        <f t="shared" ca="1" si="36"/>
        <v>71.615142501516658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16356042.190000001</v>
      </c>
      <c r="N53" s="116">
        <f t="shared" ca="1" si="42"/>
        <v>15293990.539999999</v>
      </c>
      <c r="O53" s="116">
        <f t="shared" ref="O53:O61" ca="1" si="43">IF(L53&gt;0,N53*100/L53,0)</f>
        <v>78.150580943183158</v>
      </c>
      <c r="P53" s="116">
        <f t="shared" ref="P53:P61" ca="1" si="44">IF(M53&gt;0,N53*100/M53,0)</f>
        <v>93.506670882462416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16356042.190000001</v>
      </c>
      <c r="N55" s="123">
        <f t="shared" ca="1" si="46"/>
        <v>15293990.539999999</v>
      </c>
      <c r="O55" s="123">
        <f t="shared" ca="1" si="43"/>
        <v>78.150580943183158</v>
      </c>
      <c r="P55" s="123">
        <f t="shared" ca="1" si="44"/>
        <v>93.506670882462416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10934850</v>
      </c>
      <c r="N56" s="38">
        <f t="shared" ca="1" si="47"/>
        <v>9872798.3499999996</v>
      </c>
      <c r="O56" s="38">
        <f t="shared" ca="1" si="43"/>
        <v>69.969230414877174</v>
      </c>
      <c r="P56" s="38">
        <f t="shared" ca="1" si="44"/>
        <v>90.287460276089746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"),10934850)</f>
        <v>10934850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"),9872798.35)</f>
        <v>9872798.3499999996</v>
      </c>
      <c r="O58" s="45">
        <f t="shared" ca="1" si="43"/>
        <v>69.969230414877174</v>
      </c>
      <c r="P58" s="45">
        <f t="shared" ca="1" si="44"/>
        <v>90.287460276089746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5421192.1900000004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99.999999999999986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"),5421192.19)</f>
        <v>5421192.1900000004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99.999999999999986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3390098.19</v>
      </c>
      <c r="O66" s="155">
        <f t="shared" ref="O66:O74" ca="1" si="53">IF(L66&gt;0,N66*100/L66,0)</f>
        <v>58.844633663710056</v>
      </c>
      <c r="P66" s="155">
        <f t="shared" ref="P66:P74" ca="1" si="54">IF(M66&gt;0,N66*100/M66,0)</f>
        <v>78.113941436978394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3390098.19</v>
      </c>
      <c r="O68" s="45">
        <f t="shared" ca="1" si="53"/>
        <v>58.844633663710056</v>
      </c>
      <c r="P68" s="45">
        <f t="shared" ca="1" si="54"/>
        <v>78.113941436978394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3390098.19</v>
      </c>
      <c r="O69" s="38">
        <f t="shared" ca="1" si="53"/>
        <v>58.844633663710056</v>
      </c>
      <c r="P69" s="38">
        <f t="shared" ca="1" si="54"/>
        <v>78.113941436978394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"),3390098.19)</f>
        <v>3390098.19</v>
      </c>
      <c r="O71" s="45">
        <f t="shared" ca="1" si="53"/>
        <v>58.844633663710056</v>
      </c>
      <c r="P71" s="45">
        <f t="shared" ca="1" si="54"/>
        <v>78.113941436978394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2158225.13</v>
      </c>
      <c r="O88" s="155">
        <f t="shared" ref="O88:O96" ca="1" si="66">IF(L88&gt;0,N88*100/L88,0)</f>
        <v>63.020128421507536</v>
      </c>
      <c r="P88" s="155">
        <f t="shared" ref="P88:P96" ca="1" si="67">IF(M88&gt;0,N88*100/M88,0)</f>
        <v>79.99159138123062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2158225.13</v>
      </c>
      <c r="O90" s="45">
        <f t="shared" ca="1" si="66"/>
        <v>63.020128421507536</v>
      </c>
      <c r="P90" s="45">
        <f t="shared" ca="1" si="67"/>
        <v>79.99159138123062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2158225.13</v>
      </c>
      <c r="O91" s="38">
        <f t="shared" ca="1" si="66"/>
        <v>63.020128421507536</v>
      </c>
      <c r="P91" s="38">
        <f t="shared" ca="1" si="67"/>
        <v>79.99159138123062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"),2158225.13)</f>
        <v>2158225.13</v>
      </c>
      <c r="O93" s="45">
        <f t="shared" ca="1" si="66"/>
        <v>63.020128421507536</v>
      </c>
      <c r="P93" s="45">
        <f t="shared" ca="1" si="67"/>
        <v>79.99159138123062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28</v>
      </c>
      <c r="K100" s="38">
        <f t="shared" ca="1" si="72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"),15)</f>
        <v>15</v>
      </c>
      <c r="K106" s="38">
        <f t="shared" ref="K106:K107" ca="1" si="74">IF(I106&gt;0,J106*100/I106,0)</f>
        <v>88.235294117647058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"),15)</f>
        <v>15</v>
      </c>
      <c r="K107" s="38">
        <f t="shared" ca="1" si="74"/>
        <v>88.235294117647058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"),13)</f>
        <v>13</v>
      </c>
      <c r="K109" s="38">
        <f t="shared" ref="K109:K116" ca="1" si="75">IF(I109&gt;0,J109*100/I109,0)</f>
        <v>61.904761904761905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"),13)</f>
        <v>13</v>
      </c>
      <c r="K110" s="38">
        <f t="shared" ca="1" si="75"/>
        <v>61.904761904761905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2</v>
      </c>
      <c r="K112" s="195">
        <f t="shared" ca="1" si="75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"),2)</f>
        <v>2</v>
      </c>
      <c r="K116" s="38">
        <f t="shared" ca="1" si="75"/>
        <v>9.5238095238095237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928141.2</v>
      </c>
      <c r="O132" s="155">
        <f t="shared" ref="O132:O140" ca="1" si="88">IF(L132&gt;0,N132*100/L132,0)</f>
        <v>79.384283789851821</v>
      </c>
      <c r="P132" s="155">
        <f t="shared" ref="P132:P140" ca="1" si="89">IF(M132&gt;0,N132*100/M132,0)</f>
        <v>89.034601179912713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928141.2</v>
      </c>
      <c r="O134" s="45">
        <f t="shared" ca="1" si="88"/>
        <v>79.384283789851821</v>
      </c>
      <c r="P134" s="45">
        <f t="shared" ca="1" si="89"/>
        <v>89.034601179912713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413141.2</v>
      </c>
      <c r="O135" s="38">
        <f t="shared" ca="1" si="88"/>
        <v>63.154538158749567</v>
      </c>
      <c r="P135" s="38">
        <f t="shared" ca="1" si="89"/>
        <v>78.328031092994593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"),413141.2)</f>
        <v>413141.2</v>
      </c>
      <c r="O137" s="45">
        <f t="shared" ca="1" si="88"/>
        <v>63.154538158749567</v>
      </c>
      <c r="P137" s="45">
        <f t="shared" ca="1" si="89"/>
        <v>78.328031092994593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104</v>
      </c>
      <c r="K148" s="145">
        <f ca="1">IF(I148&gt;0,J148*100/I148,0)</f>
        <v>69.333333333333329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70584</v>
      </c>
      <c r="O149" s="155">
        <f t="shared" ref="O149:O157" ca="1" si="97">IF(L149&gt;0,N149*100/L149,0)</f>
        <v>94.111999999999995</v>
      </c>
      <c r="P149" s="155">
        <f t="shared" ref="P149:P157" ca="1" si="98">IF(M149&gt;0,N149*100/M149,0)</f>
        <v>66.432000000000002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70584</v>
      </c>
      <c r="O151" s="45">
        <f t="shared" ca="1" si="97"/>
        <v>94.111999999999995</v>
      </c>
      <c r="P151" s="45">
        <f t="shared" ca="1" si="98"/>
        <v>66.432000000000002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70584</v>
      </c>
      <c r="O152" s="38">
        <f t="shared" ca="1" si="97"/>
        <v>94.111999999999995</v>
      </c>
      <c r="P152" s="38">
        <f t="shared" ca="1" si="98"/>
        <v>66.432000000000002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"),70584)</f>
        <v>70584</v>
      </c>
      <c r="O154" s="45">
        <f t="shared" ca="1" si="97"/>
        <v>94.111999999999995</v>
      </c>
      <c r="P154" s="45">
        <f t="shared" ca="1" si="98"/>
        <v>66.432000000000002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"),104)</f>
        <v>104</v>
      </c>
      <c r="K159" s="38">
        <f ca="1">IF(I159&gt;0,J159*100/I159,0)</f>
        <v>69.333333333333329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544197.56000000006</v>
      </c>
      <c r="O165" s="155">
        <f t="shared" ref="O165:O173" ca="1" si="105">IF(L165&gt;0,N165*100/L165,0)</f>
        <v>138.48323281675448</v>
      </c>
      <c r="P165" s="155">
        <f t="shared" ref="P165:P173" ca="1" si="106">IF(M165&gt;0,N165*100/M165,0)</f>
        <v>99.004413557225263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544197.56000000006</v>
      </c>
      <c r="O167" s="45">
        <f t="shared" ca="1" si="105"/>
        <v>138.48323281675448</v>
      </c>
      <c r="P167" s="45">
        <f t="shared" ca="1" si="106"/>
        <v>99.004413557225263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544197.56000000006</v>
      </c>
      <c r="O168" s="38">
        <f t="shared" ca="1" si="105"/>
        <v>138.48323281675448</v>
      </c>
      <c r="P168" s="38">
        <f t="shared" ca="1" si="106"/>
        <v>99.004413557225263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"),544197.56)</f>
        <v>544197.56000000006</v>
      </c>
      <c r="O170" s="45">
        <f t="shared" ca="1" si="105"/>
        <v>138.48323281675448</v>
      </c>
      <c r="P170" s="45">
        <f t="shared" ca="1" si="106"/>
        <v>99.004413557225263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3276437.36</v>
      </c>
      <c r="O181" s="155">
        <f t="shared" ref="O181:O189" ca="1" si="114">IF(L181&gt;0,N181*100/L181,0)</f>
        <v>68.121449570659294</v>
      </c>
      <c r="P181" s="155">
        <f t="shared" ref="P181:P189" ca="1" si="115">IF(M181&gt;0,N181*100/M181,0)</f>
        <v>80.571632046310214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3276437.36</v>
      </c>
      <c r="O183" s="45">
        <f t="shared" ca="1" si="114"/>
        <v>68.121449570659294</v>
      </c>
      <c r="P183" s="45">
        <f t="shared" ca="1" si="115"/>
        <v>80.571632046310214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3276437.36</v>
      </c>
      <c r="O184" s="38">
        <f t="shared" ca="1" si="114"/>
        <v>68.121449570659294</v>
      </c>
      <c r="P184" s="38">
        <f t="shared" ca="1" si="115"/>
        <v>80.571632046310214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"),3276437.36)</f>
        <v>3276437.36</v>
      </c>
      <c r="O186" s="45">
        <f t="shared" ca="1" si="114"/>
        <v>68.121449570659294</v>
      </c>
      <c r="P186" s="45">
        <f t="shared" ca="1" si="115"/>
        <v>80.571632046310214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43</v>
      </c>
      <c r="K190" s="273">
        <f ca="1">IF(I190&gt;0,J190*100/I190,0)</f>
        <v>51.19047619047619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"),55347)</f>
        <v>55347</v>
      </c>
      <c r="O191" s="155">
        <f ca="1">IF(L191&gt;0,N191*100/L191,0)</f>
        <v>43.926190476190477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"),43)</f>
        <v>43</v>
      </c>
      <c r="K193" s="38">
        <f ca="1">IF(I193&gt;0,J193*100/I193,0)</f>
        <v>51.19047619047619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1529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"),1522)</f>
        <v>1522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405640</v>
      </c>
      <c r="O198" s="155">
        <f ca="1">IF(L198&gt;0,N198*100/L198,0)</f>
        <v>78.460348162475825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"),23435)</f>
        <v>23435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"),64395)</f>
        <v>64395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"),5000)</f>
        <v>5000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"),18)</f>
        <v>18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189160</v>
      </c>
      <c r="O209" s="155">
        <f ca="1">IF(L209&gt;0,N209*100/L209,0)</f>
        <v>79.47899159663865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"),8420)</f>
        <v>8420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"),45000)</f>
        <v>45000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"),135740)</f>
        <v>135740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"),9)</f>
        <v>9</v>
      </c>
      <c r="K214" s="38">
        <f t="shared" ref="K214:K216" ca="1" si="123">IF(I214&gt;0,J214*100/I214,0)</f>
        <v>52.941176470588232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3200</v>
      </c>
      <c r="K216" s="273">
        <f t="shared" ca="1" si="123"/>
        <v>0.68056146320714594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46300</v>
      </c>
      <c r="O217" s="155">
        <f ca="1">IF(L217&gt;0,N217*100/L217,0)</f>
        <v>18.691966088009689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"),7680)</f>
        <v>7680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"),38620)</f>
        <v>38620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"),266000)</f>
        <v>266000</v>
      </c>
      <c r="K223" s="163">
        <f t="shared" ref="K223:K226" ca="1" si="125">IF(I223&gt;0,J223*100/I223,0)</f>
        <v>56.571671629094006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"),3200)</f>
        <v>3200</v>
      </c>
      <c r="K224" s="163">
        <f t="shared" ca="1" si="125"/>
        <v>0.68056146320714594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979282.78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346402.78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415380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157500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60000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150</v>
      </c>
      <c r="K235" s="283">
        <f t="shared" ref="K235:K237" ca="1" si="131">IF(I235&gt;0,J235*100/I235,0)</f>
        <v>53.571428571428569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7</v>
      </c>
      <c r="K236" s="283">
        <f t="shared" ca="1" si="131"/>
        <v>53.846153846153847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805382.78</v>
      </c>
      <c r="O238" s="356">
        <f ca="1">IF(L238&gt;0,N238*100/L238,0)</f>
        <v>60.632596551983738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"),309762.78)</f>
        <v>309762.78000000003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"),348120)</f>
        <v>348120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"),97500)</f>
        <v>97500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"),50000)</f>
        <v>50000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"),120)</f>
        <v>120</v>
      </c>
      <c r="K246" s="45">
        <f t="shared" ref="K246:K248" ca="1" si="134">IF(I246&gt;0,J246*100/I246,0)</f>
        <v>48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"),6)</f>
        <v>6</v>
      </c>
      <c r="K247" s="45">
        <f t="shared" ca="1" si="134"/>
        <v>54.545454545454547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173900</v>
      </c>
      <c r="O249" s="356">
        <f ca="1">IF(L249&gt;0,N249*100/L249,0)</f>
        <v>90.525767829255599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"),36640)</f>
        <v>36640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"),10000)</f>
        <v>10000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"),1)</f>
        <v>1</v>
      </c>
      <c r="K258" s="45">
        <f t="shared" ca="1" si="136"/>
        <v>50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341</v>
      </c>
      <c r="K260" s="254">
        <f ca="1">IF(I260&gt;0,J260*100/I260,0)</f>
        <v>77.5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473198.67</v>
      </c>
      <c r="O261" s="155">
        <f t="shared" ref="O261:O269" ca="1" si="139">IF(L261&gt;0,N261*100/L261,0)</f>
        <v>57.011887951807232</v>
      </c>
      <c r="P261" s="155">
        <f t="shared" ref="P261:P269" ca="1" si="140">IF(M261&gt;0,N261*100/M261,0)</f>
        <v>68.679052249637152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473198.67</v>
      </c>
      <c r="O263" s="45">
        <f t="shared" ca="1" si="139"/>
        <v>57.011887951807232</v>
      </c>
      <c r="P263" s="45">
        <f t="shared" ca="1" si="140"/>
        <v>68.679052249637152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473198.67</v>
      </c>
      <c r="O264" s="38">
        <f t="shared" ca="1" si="139"/>
        <v>57.011887951807232</v>
      </c>
      <c r="P264" s="38">
        <f t="shared" ca="1" si="140"/>
        <v>68.679052249637152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"),473198.67)</f>
        <v>473198.67</v>
      </c>
      <c r="O266" s="45">
        <f t="shared" ca="1" si="139"/>
        <v>57.011887951807232</v>
      </c>
      <c r="P266" s="45">
        <f t="shared" ca="1" si="140"/>
        <v>68.679052249637152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"),341)</f>
        <v>341</v>
      </c>
      <c r="K271" s="163">
        <f ca="1">IF(I271&gt;0,J271*100/I271,0)</f>
        <v>77.5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655941.97</v>
      </c>
      <c r="O277" s="155">
        <f t="shared" ref="O277:O285" ca="1" si="149">IF(L277&gt;0,N277*100/L277,0)</f>
        <v>68.113016344416522</v>
      </c>
      <c r="P277" s="155">
        <f t="shared" ref="P277:P285" ca="1" si="150">IF(M277&gt;0,N277*100/M277,0)</f>
        <v>90.791585809791414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655941.97</v>
      </c>
      <c r="O279" s="45">
        <f t="shared" ca="1" si="149"/>
        <v>68.113016344416522</v>
      </c>
      <c r="P279" s="45">
        <f t="shared" ca="1" si="150"/>
        <v>90.791585809791414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655941.97</v>
      </c>
      <c r="O280" s="38">
        <f t="shared" ca="1" si="149"/>
        <v>68.113016344416522</v>
      </c>
      <c r="P280" s="38">
        <f t="shared" ca="1" si="150"/>
        <v>90.791585809791414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"),655941.97)</f>
        <v>655941.97</v>
      </c>
      <c r="O282" s="45">
        <f t="shared" ca="1" si="149"/>
        <v>68.113016344416522</v>
      </c>
      <c r="P282" s="45">
        <f t="shared" ca="1" si="150"/>
        <v>90.791585809791414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1752000</v>
      </c>
      <c r="N298" s="155">
        <f t="shared" ca="1" si="159"/>
        <v>1484068.68</v>
      </c>
      <c r="O298" s="155">
        <f t="shared" ref="O298:O306" ca="1" si="160">IF(L298&gt;0,N298*100/L298,0)</f>
        <v>66.849940540540544</v>
      </c>
      <c r="P298" s="155">
        <f t="shared" ref="P298:P306" ca="1" si="161">IF(M298&gt;0,N298*100/M298,0)</f>
        <v>84.707116438356167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1752000</v>
      </c>
      <c r="N300" s="45">
        <f t="shared" ca="1" si="163"/>
        <v>1484068.68</v>
      </c>
      <c r="O300" s="45">
        <f t="shared" ca="1" si="160"/>
        <v>66.849940540540544</v>
      </c>
      <c r="P300" s="45">
        <f t="shared" ca="1" si="161"/>
        <v>84.707116438356167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1752000</v>
      </c>
      <c r="N301" s="38">
        <f t="shared" ca="1" si="164"/>
        <v>1484068.68</v>
      </c>
      <c r="O301" s="38">
        <f t="shared" ca="1" si="160"/>
        <v>66.849940540540544</v>
      </c>
      <c r="P301" s="38">
        <f t="shared" ca="1" si="161"/>
        <v>84.707116438356167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"),1752000)</f>
        <v>1752000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"),1484068.68)</f>
        <v>1484068.68</v>
      </c>
      <c r="O303" s="45">
        <f t="shared" ca="1" si="160"/>
        <v>66.849940540540544</v>
      </c>
      <c r="P303" s="45">
        <f t="shared" ca="1" si="161"/>
        <v>84.707116438356167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"),15)</f>
        <v>15</v>
      </c>
      <c r="K312" s="38">
        <f t="shared" ca="1" si="166"/>
        <v>33.333333333333336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277346.15000000002</v>
      </c>
      <c r="O315" s="155">
        <f t="shared" ref="O315:O323" ca="1" si="169">IF(L315&gt;0,N315*100/L315,0)</f>
        <v>60.423997821350774</v>
      </c>
      <c r="P315" s="155">
        <f t="shared" ref="P315:P323" ca="1" si="170">IF(M315&gt;0,N315*100/M315,0)</f>
        <v>80.741237263464342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277346.15000000002</v>
      </c>
      <c r="O317" s="45">
        <f t="shared" ca="1" si="169"/>
        <v>60.423997821350774</v>
      </c>
      <c r="P317" s="45">
        <f t="shared" ca="1" si="170"/>
        <v>80.741237263464342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277346.15000000002</v>
      </c>
      <c r="O318" s="38">
        <f t="shared" ca="1" si="169"/>
        <v>60.423997821350774</v>
      </c>
      <c r="P318" s="38">
        <f t="shared" ca="1" si="170"/>
        <v>80.741237263464342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"),277346.15)</f>
        <v>277346.15000000002</v>
      </c>
      <c r="O320" s="45">
        <f t="shared" ca="1" si="169"/>
        <v>60.423997821350774</v>
      </c>
      <c r="P320" s="45">
        <f t="shared" ca="1" si="170"/>
        <v>80.741237263464342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37454</v>
      </c>
      <c r="K327" s="445">
        <f ca="1">IF(I327&gt;0,J327*100/I327,0)</f>
        <v>128.70790378006873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6247600</v>
      </c>
      <c r="N328" s="155">
        <f t="shared" ca="1" si="175"/>
        <v>5260326.6999999899</v>
      </c>
      <c r="O328" s="155">
        <f t="shared" ref="O328:O336" ca="1" si="176">IF(L328&gt;0,N328*100/L328,0)</f>
        <v>67.903220684669662</v>
      </c>
      <c r="P328" s="155">
        <f t="shared" ref="P328:P336" ca="1" si="177">IF(M328&gt;0,N328*100/M328,0)</f>
        <v>84.1975590626799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6247600</v>
      </c>
      <c r="N330" s="45">
        <f t="shared" ca="1" si="179"/>
        <v>5260326.6999999899</v>
      </c>
      <c r="O330" s="45">
        <f t="shared" ca="1" si="176"/>
        <v>67.903220684669662</v>
      </c>
      <c r="P330" s="45">
        <f t="shared" ca="1" si="177"/>
        <v>84.1975590626799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4503600</v>
      </c>
      <c r="N331" s="38">
        <f t="shared" ca="1" si="180"/>
        <v>3516326.6999999899</v>
      </c>
      <c r="O331" s="38">
        <f t="shared" ca="1" si="176"/>
        <v>59.249287254835714</v>
      </c>
      <c r="P331" s="38">
        <f t="shared" ca="1" si="177"/>
        <v>78.078130828670169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"),4503600)</f>
        <v>4503600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"),3516326.69999999)</f>
        <v>3516326.6999999899</v>
      </c>
      <c r="O333" s="45">
        <f t="shared" ca="1" si="176"/>
        <v>59.249287254835714</v>
      </c>
      <c r="P333" s="45">
        <f t="shared" ca="1" si="177"/>
        <v>78.078130828670169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1744000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"),1744000)</f>
        <v>1744000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"),33438)</f>
        <v>33438</v>
      </c>
      <c r="K338" s="38">
        <f ca="1">IF(I338&gt;0,J338*100/I338,0)</f>
        <v>114.90721649484536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"),68)</f>
        <v>68</v>
      </c>
      <c r="K340" s="38">
        <f ca="1">IF(I340&gt;0,J340*100/I340,0)</f>
        <v>85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"),3877)</f>
        <v>3877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"),11)</f>
        <v>11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11697259</v>
      </c>
      <c r="N345" s="155">
        <f t="shared" ca="1" si="182"/>
        <v>9287545.4400000013</v>
      </c>
      <c r="O345" s="155">
        <f t="shared" ref="O345:O353" ca="1" si="183">IF(L345&gt;0,N345*100/L345,0)</f>
        <v>66.455099755503682</v>
      </c>
      <c r="P345" s="155">
        <f t="shared" ref="P345:P353" ca="1" si="184">IF(M345&gt;0,N345*100/M345,0)</f>
        <v>79.399331416018072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11697259</v>
      </c>
      <c r="N347" s="45">
        <f t="shared" ca="1" si="186"/>
        <v>9287545.4400000013</v>
      </c>
      <c r="O347" s="45">
        <f t="shared" ca="1" si="183"/>
        <v>66.455099755503682</v>
      </c>
      <c r="P347" s="45">
        <f t="shared" ca="1" si="184"/>
        <v>79.399331416018072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9533819</v>
      </c>
      <c r="N348" s="38">
        <f t="shared" ca="1" si="187"/>
        <v>7124105.4400000004</v>
      </c>
      <c r="O348" s="38">
        <f t="shared" ca="1" si="183"/>
        <v>60.322807255225882</v>
      </c>
      <c r="P348" s="38">
        <f t="shared" ca="1" si="184"/>
        <v>74.724571968483986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"),9533819)</f>
        <v>9533819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"),7124105.44)</f>
        <v>7124105.4400000004</v>
      </c>
      <c r="O350" s="45">
        <f t="shared" ca="1" si="183"/>
        <v>60.322807255225882</v>
      </c>
      <c r="P350" s="45">
        <f t="shared" ca="1" si="184"/>
        <v>74.724571968483986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1201</v>
      </c>
      <c r="K355" s="465">
        <f ca="1">IF(I355&gt;0,J355*100/I355,0)</f>
        <v>35.37555228276878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"),2563)</f>
        <v>2563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"),27061.1)</f>
        <v>27061.1</v>
      </c>
      <c r="K359" s="38">
        <f t="shared" ca="1" si="189"/>
        <v>69.014052179235421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"),1868)</f>
        <v>1868</v>
      </c>
      <c r="K360" s="38">
        <f t="shared" ca="1" si="189"/>
        <v>55.022091310751108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"),20664.3299999999)</f>
        <v>20664.3299999999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"),1201)</f>
        <v>1201</v>
      </c>
      <c r="K362" s="38">
        <f t="shared" ca="1" si="189"/>
        <v>35.37555228276878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"),12819.2599999999)</f>
        <v>12819.2599999999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3352</v>
      </c>
      <c r="K364" s="479">
        <f t="shared" ca="1" si="189"/>
        <v>64.153110047846894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541</v>
      </c>
      <c r="K365" s="491">
        <f t="shared" ca="1" si="189"/>
        <v>43.699515347334412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"),1052)</f>
        <v>1052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"),13164.7799999999)</f>
        <v>13164.779999999901</v>
      </c>
      <c r="K369" s="38">
        <f t="shared" ca="1" si="191"/>
        <v>85.691466510446531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"),888)</f>
        <v>888</v>
      </c>
      <c r="K370" s="38">
        <f t="shared" ca="1" si="191"/>
        <v>71.72859450726979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"),11186.1699999999)</f>
        <v>11186.1699999999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"),541)</f>
        <v>541</v>
      </c>
      <c r="K372" s="38">
        <f t="shared" ca="1" si="191"/>
        <v>43.699515347334412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"),6730.32)</f>
        <v>6730.32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2811</v>
      </c>
      <c r="K374" s="491">
        <f t="shared" ca="1" si="191"/>
        <v>70.504138449962383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"),1511)</f>
        <v>1511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"),13896.32)</f>
        <v>13896.32</v>
      </c>
      <c r="K378" s="497">
        <f t="shared" ca="1" si="192"/>
        <v>58.270379067427037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"),3063)</f>
        <v>3063</v>
      </c>
      <c r="K379" s="497">
        <f t="shared" ca="1" si="192"/>
        <v>76.824680210684718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"),41752.94)</f>
        <v>41752.94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"),2811)</f>
        <v>2811</v>
      </c>
      <c r="K381" s="497">
        <f t="shared" ca="1" si="192"/>
        <v>70.504138449962383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"),39617.49)</f>
        <v>39617.49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"),74)</f>
        <v>74</v>
      </c>
      <c r="K385" s="502">
        <f ca="1">IF(I385&gt;0,J385*100/I385,0)</f>
        <v>24.503311258278146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10660089.179999989</v>
      </c>
      <c r="O414" s="549">
        <f ca="1">IF(L414&gt;0,N414*100/L414,0)</f>
        <v>45.36940443195784</v>
      </c>
      <c r="P414" s="549">
        <f ca="1">IF(M414&gt;0,N414*100/M414,0)</f>
        <v>45.51048258596078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6" t="s">
        <v>17</v>
      </c>
      <c r="E419" s="857"/>
      <c r="F419" s="857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1829237.0599999998</v>
      </c>
      <c r="O419" s="155">
        <f t="shared" ref="O419:O424" ca="1" si="216">IF(L419&gt;0,N419*100/L419,0)</f>
        <v>80.683718468398922</v>
      </c>
      <c r="P419" s="155">
        <f t="shared" ref="P419:P424" ca="1" si="217">IF(M419&gt;0,N419*100/M419,0)</f>
        <v>81.499733121850582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1829237.0599999998</v>
      </c>
      <c r="O421" s="45">
        <f t="shared" ca="1" si="216"/>
        <v>80.683718468398922</v>
      </c>
      <c r="P421" s="45">
        <f t="shared" ca="1" si="217"/>
        <v>81.499733121850582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1829237.0599999998</v>
      </c>
      <c r="O422" s="38">
        <f t="shared" ca="1" si="216"/>
        <v>80.683718468398922</v>
      </c>
      <c r="P422" s="38">
        <f t="shared" ca="1" si="217"/>
        <v>81.499733121850582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1829237.0599999998</v>
      </c>
      <c r="O424" s="45">
        <f t="shared" ca="1" si="216"/>
        <v>80.683718468398922</v>
      </c>
      <c r="P424" s="45">
        <f t="shared" ca="1" si="217"/>
        <v>81.499733121850582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"),1537505.4)</f>
        <v>1537505.4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"),281831.66)</f>
        <v>281831.65999999997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8" t="s">
        <v>17</v>
      </c>
      <c r="E444" s="852"/>
      <c r="F444" s="852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1437954</v>
      </c>
      <c r="O444" s="195">
        <f t="shared" ref="O444:O449" ca="1" si="230">IF(L444&gt;0,N444*100/L444,0)</f>
        <v>65.63913934201733</v>
      </c>
      <c r="P444" s="195">
        <f t="shared" ref="P444:P449" ca="1" si="231">IF(M444&gt;0,N444*100/M444,0)</f>
        <v>65.944252852478257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1437954</v>
      </c>
      <c r="O446" s="45">
        <f t="shared" ca="1" si="230"/>
        <v>65.63913934201733</v>
      </c>
      <c r="P446" s="45">
        <f t="shared" ca="1" si="231"/>
        <v>65.944252852478257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1437954</v>
      </c>
      <c r="O447" s="38">
        <f t="shared" ca="1" si="230"/>
        <v>65.63913934201733</v>
      </c>
      <c r="P447" s="38">
        <f t="shared" ca="1" si="231"/>
        <v>65.944252852478257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1437954</v>
      </c>
      <c r="O449" s="45">
        <f t="shared" ca="1" si="230"/>
        <v>65.63913934201733</v>
      </c>
      <c r="P449" s="45">
        <f t="shared" ca="1" si="231"/>
        <v>65.944252852478257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"),534720)</f>
        <v>534720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"),493068)</f>
        <v>493068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"),298146)</f>
        <v>298146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"),112020)</f>
        <v>112020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"),335)</f>
        <v>335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"),205)</f>
        <v>205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760</v>
      </c>
      <c r="K466" s="566">
        <f t="shared" ca="1" si="238"/>
        <v>9.3827160493827169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8" t="s">
        <v>17</v>
      </c>
      <c r="E467" s="852"/>
      <c r="F467" s="852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2621630.7600000002</v>
      </c>
      <c r="O467" s="195">
        <f t="shared" ref="O467:O472" ca="1" si="240">IF(L467&gt;0,N467*100/L467,0)</f>
        <v>37.262997833836501</v>
      </c>
      <c r="P467" s="195">
        <f t="shared" ref="P467:P472" ca="1" si="241">IF(M467&gt;0,N467*100/M467,0)</f>
        <v>37.262997833836501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2621630.7600000002</v>
      </c>
      <c r="O469" s="45">
        <f t="shared" ca="1" si="240"/>
        <v>37.262997833836501</v>
      </c>
      <c r="P469" s="45">
        <f t="shared" ca="1" si="241"/>
        <v>37.262997833836501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2621630.7600000002</v>
      </c>
      <c r="O470" s="38">
        <f t="shared" ca="1" si="240"/>
        <v>37.262997833836501</v>
      </c>
      <c r="P470" s="38">
        <f t="shared" ca="1" si="241"/>
        <v>37.262997833836501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2621630.7600000002</v>
      </c>
      <c r="O472" s="45">
        <f t="shared" ca="1" si="240"/>
        <v>37.262997833836501</v>
      </c>
      <c r="P472" s="45">
        <f t="shared" ca="1" si="241"/>
        <v>37.262997833836501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"),1031506)</f>
        <v>1031506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"),1145785)</f>
        <v>1145785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"),238466.68)</f>
        <v>238466.68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"),205873.08)</f>
        <v>205873.08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"),389)</f>
        <v>389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"),630)</f>
        <v>630</v>
      </c>
      <c r="K495" s="38">
        <f ca="1">IF(I495&gt;0,J495*100/I495,0)</f>
        <v>8.6419753086419746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"),450)</f>
        <v>450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"),130)</f>
        <v>130</v>
      </c>
      <c r="K498" s="38">
        <f ca="1">IF(I498&gt;0,J498*100/I498,0)</f>
        <v>16.049382716049383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"),110)</f>
        <v>110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9" t="s">
        <v>17</v>
      </c>
      <c r="E502" s="852"/>
      <c r="F502" s="852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8" t="s">
        <v>17</v>
      </c>
      <c r="E523" s="852"/>
      <c r="F523" s="852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682038</v>
      </c>
      <c r="O523" s="195">
        <f t="shared" ref="O523:O528" ca="1" si="262">IF(L523&gt;0,N523*100/L523,0)</f>
        <v>53.18532728208487</v>
      </c>
      <c r="P523" s="195">
        <f t="shared" ref="P523:P528" ca="1" si="263">IF(M523&gt;0,N523*100/M523,0)</f>
        <v>53.18532728208487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682038</v>
      </c>
      <c r="O525" s="45">
        <f t="shared" ca="1" si="262"/>
        <v>53.18532728208487</v>
      </c>
      <c r="P525" s="45">
        <f t="shared" ca="1" si="263"/>
        <v>53.18532728208487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682038</v>
      </c>
      <c r="O526" s="38">
        <f t="shared" ca="1" si="262"/>
        <v>53.18532728208487</v>
      </c>
      <c r="P526" s="38">
        <f t="shared" ca="1" si="263"/>
        <v>53.18532728208487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682038</v>
      </c>
      <c r="O528" s="45">
        <f t="shared" ca="1" si="262"/>
        <v>53.18532728208487</v>
      </c>
      <c r="P528" s="45">
        <f t="shared" ca="1" si="263"/>
        <v>53.18532728208487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"),379248)</f>
        <v>379248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"),52790)</f>
        <v>52790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"),50)</f>
        <v>50</v>
      </c>
      <c r="K542" s="38">
        <f t="shared" ca="1" si="270"/>
        <v>33.333333333333336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27893</v>
      </c>
      <c r="K543" s="683">
        <f t="shared" ca="1" si="270"/>
        <v>10.559010913716152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60" t="s">
        <v>17</v>
      </c>
      <c r="E544" s="857"/>
      <c r="F544" s="857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2554032.1999999899</v>
      </c>
      <c r="O544" s="155">
        <f t="shared" ref="O544:O549" ca="1" si="273">IF(L544&gt;0,N544*100/L544,0)</f>
        <v>42.190714492558818</v>
      </c>
      <c r="P544" s="155">
        <f t="shared" ref="P544:P549" ca="1" si="274">IF(M544&gt;0,N544*100/M544,0)</f>
        <v>42.47135256914337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2554032.1999999899</v>
      </c>
      <c r="O546" s="45">
        <f t="shared" ca="1" si="273"/>
        <v>42.190714492558818</v>
      </c>
      <c r="P546" s="45">
        <f t="shared" ca="1" si="274"/>
        <v>42.47135256914337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2554032.1999999899</v>
      </c>
      <c r="O547" s="38">
        <f t="shared" ca="1" si="273"/>
        <v>42.190714492558818</v>
      </c>
      <c r="P547" s="38">
        <f t="shared" ca="1" si="274"/>
        <v>42.47135256914337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2554032.1999999899</v>
      </c>
      <c r="O549" s="45">
        <f t="shared" ca="1" si="273"/>
        <v>42.190714492558818</v>
      </c>
      <c r="P549" s="45">
        <f t="shared" ca="1" si="274"/>
        <v>42.47135256914337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"),125650)</f>
        <v>125650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"),1115738.56999999)</f>
        <v>1115738.5699999901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"),1312643.63)</f>
        <v>1312643.6299999999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27893</v>
      </c>
      <c r="K559" s="672">
        <f t="shared" ref="K559:K561" ca="1" si="283">IF(I559&gt;0,J559*100/I559,0)</f>
        <v>10.559010913716152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264166.4399999989</v>
      </c>
      <c r="K568" s="411">
        <f t="shared" ref="K568:K569" ca="1" si="286">IF(I568&gt;0,J568*100/I568,0)</f>
        <v>100.00130222627654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"),228271.479999999)</f>
        <v>228271.47999999899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"),18681)</f>
        <v>18681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"),24152.3099999999)</f>
        <v>24152.309999999899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"),1992)</f>
        <v>1992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"),11742.65)</f>
        <v>11742.65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"),834)</f>
        <v>834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27893</v>
      </c>
      <c r="K576" s="411">
        <f t="shared" ref="K576:K577" ca="1" si="288">IF(I576&gt;0,J576*100/I576,0)</f>
        <v>10.559010913716152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2413</v>
      </c>
      <c r="K577" s="411">
        <f t="shared" ca="1" si="288"/>
        <v>11.219602919979542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"),23940)</f>
        <v>23940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"),2070)</f>
        <v>2070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"),2745)</f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"),242)</f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1208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101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"),1208)</f>
        <v>1208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"),101)</f>
        <v>101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25712.7755</v>
      </c>
      <c r="K592" s="672">
        <f t="shared" ref="K592:K594" ca="1" si="291">IF(I592&gt;0,J592*100/I592,0)</f>
        <v>31.720279172475049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25712.7755</v>
      </c>
      <c r="K593" s="411">
        <f t="shared" ca="1" si="291"/>
        <v>31.720279172475049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1453</v>
      </c>
      <c r="K594" s="411">
        <f t="shared" ca="1" si="291"/>
        <v>27.123389957065523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24410.648000000001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1378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"),17232.148)</f>
        <v>17232.148000000001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"),1055)</f>
        <v>1055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"),7178.5)</f>
        <v>7178.5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"),323)</f>
        <v>323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1280.1275000000001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71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"),1280.1275)</f>
        <v>1280.1275000000001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"),71)</f>
        <v>71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"),22)</f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"),4)</f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5</v>
      </c>
      <c r="K620" s="724">
        <f t="shared" ref="K620:K621" ca="1" si="298">IF(I620&gt;0,J620*100/I620,0)</f>
        <v>0.52854122621564481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8</v>
      </c>
      <c r="K621" s="724">
        <f t="shared" ca="1" si="298"/>
        <v>13.559322033898304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120</v>
      </c>
      <c r="K628" s="737">
        <f ca="1">IF(I628&gt;0,J628*100/I628,0)</f>
        <v>8.1911262798634805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8" t="s">
        <v>17</v>
      </c>
      <c r="E629" s="852"/>
      <c r="F629" s="852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1330135.51</v>
      </c>
      <c r="O629" s="195">
        <f t="shared" ref="O629:O634" ca="1" si="301">IF(L629&gt;0,N629*100/L629,0)</f>
        <v>34.937093635004977</v>
      </c>
      <c r="P629" s="195">
        <f t="shared" ref="P629:P634" ca="1" si="302">IF(M629&gt;0,N629*100/M629,0)</f>
        <v>34.937093635004977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1330135.51</v>
      </c>
      <c r="O631" s="45">
        <f t="shared" ca="1" si="301"/>
        <v>34.937093635004977</v>
      </c>
      <c r="P631" s="45">
        <f t="shared" ca="1" si="302"/>
        <v>34.937093635004977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1330135.51</v>
      </c>
      <c r="O632" s="38">
        <f t="shared" ca="1" si="301"/>
        <v>34.937093635004977</v>
      </c>
      <c r="P632" s="38">
        <f t="shared" ca="1" si="302"/>
        <v>34.937093635004977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1330135.51</v>
      </c>
      <c r="O634" s="45">
        <f t="shared" ca="1" si="301"/>
        <v>34.937093635004977</v>
      </c>
      <c r="P634" s="45">
        <f t="shared" ca="1" si="302"/>
        <v>34.937093635004977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"),26080)</f>
        <v>26080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"),616226.31)</f>
        <v>616226.31000000006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"),651524.2)</f>
        <v>651524.19999999995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"),1)</f>
        <v>1</v>
      </c>
      <c r="K644" s="163">
        <f t="shared" ca="1" si="309"/>
        <v>10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"),525)</f>
        <v>525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"),438.74)</f>
        <v>438.74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"),292)</f>
        <v>292</v>
      </c>
      <c r="K647" s="163">
        <f t="shared" ca="1" si="309"/>
        <v>19.931740614334473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"),256.84)</f>
        <v>256.83999999999997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"),131)</f>
        <v>131</v>
      </c>
      <c r="K649" s="163">
        <f t="shared" ca="1" si="309"/>
        <v>8.941979522184301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"),104.359999999999)</f>
        <v>104.359999999999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"),120)</f>
        <v>120</v>
      </c>
      <c r="K651" s="163">
        <f t="shared" ca="1" si="309"/>
        <v>8.1911262798634805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"),98.9175)</f>
        <v>98.917500000000004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143</v>
      </c>
      <c r="K654" s="672">
        <f ca="1">IF(I654&gt;0,J654*100/I654,0)</f>
        <v>11.578947368421053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8" t="s">
        <v>17</v>
      </c>
      <c r="E655" s="852"/>
      <c r="F655" s="852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52305.2</v>
      </c>
      <c r="O655" s="195">
        <f t="shared" ref="O655:O660" ca="1" si="312">IF(L655&gt;0,N655*100/L655,0)</f>
        <v>30.463133372160744</v>
      </c>
      <c r="P655" s="195">
        <f t="shared" ref="P655:P660" ca="1" si="313">IF(M655&gt;0,N655*100/M655,0)</f>
        <v>30.463133372160744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52305.2</v>
      </c>
      <c r="O657" s="45">
        <f t="shared" ca="1" si="312"/>
        <v>30.463133372160744</v>
      </c>
      <c r="P657" s="45">
        <f t="shared" ca="1" si="313"/>
        <v>30.463133372160744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52305.2</v>
      </c>
      <c r="O658" s="38">
        <f t="shared" ca="1" si="312"/>
        <v>30.463133372160744</v>
      </c>
      <c r="P658" s="38">
        <f t="shared" ca="1" si="313"/>
        <v>30.463133372160744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52305.2</v>
      </c>
      <c r="O660" s="45">
        <f t="shared" ca="1" si="312"/>
        <v>30.463133372160744</v>
      </c>
      <c r="P660" s="45">
        <f t="shared" ca="1" si="313"/>
        <v>30.463133372160744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"),1500)</f>
        <v>1500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"),50805.2)</f>
        <v>50805.2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143</v>
      </c>
      <c r="K669" s="195">
        <f ca="1">IF(I669&gt;0,J669*100/I669,0)</f>
        <v>11.578947368421053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"),57)</f>
        <v>57</v>
      </c>
      <c r="K670" s="38">
        <f ca="1">IF(I670&gt;0,(J670*100)/I670,0)</f>
        <v>93.442622950819668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"),57)</f>
        <v>57</v>
      </c>
      <c r="K671" s="38">
        <f ca="1">IF(I$671&gt;0,J671*100/I$671,0)</f>
        <v>93.442622950819668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"),1163.2)</f>
        <v>1163.2</v>
      </c>
      <c r="K672" s="38">
        <f t="shared" ref="K672:K675" ca="1" si="320">IF(I$669&gt;0,J672*100/I$669,0)</f>
        <v>94.186234817813769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"),829.38)</f>
        <v>829.38</v>
      </c>
      <c r="K673" s="38">
        <f t="shared" ca="1" si="320"/>
        <v>67.156275303643724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"),170)</f>
        <v>170</v>
      </c>
      <c r="K674" s="38">
        <f t="shared" ca="1" si="320"/>
        <v>13.765182186234817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143</v>
      </c>
      <c r="K675" s="195">
        <f t="shared" ca="1" si="320"/>
        <v>11.578947368421053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8" t="s">
        <v>17</v>
      </c>
      <c r="E685" s="852"/>
      <c r="F685" s="852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40823.119999999901</v>
      </c>
      <c r="O685" s="195">
        <f t="shared" ref="O685:O688" ca="1" si="322">IF(L685&gt;0,N685*100/L685,0)</f>
        <v>11.570851166350133</v>
      </c>
      <c r="P685" s="195">
        <f t="shared" ref="P685:P688" ca="1" si="323">IF(M685&gt;0,N685*100/M685,0)</f>
        <v>11.570851166350133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40823.119999999901</v>
      </c>
      <c r="O687" s="45">
        <f t="shared" ca="1" si="322"/>
        <v>11.570851166350133</v>
      </c>
      <c r="P687" s="45">
        <f t="shared" ca="1" si="323"/>
        <v>11.570851166350133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40823.119999999901</v>
      </c>
      <c r="O688" s="38">
        <f t="shared" ca="1" si="322"/>
        <v>11.570851166350133</v>
      </c>
      <c r="P688" s="38">
        <f t="shared" ca="1" si="323"/>
        <v>11.570851166350133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40823.119999999901</v>
      </c>
      <c r="O690" s="45">
        <f ca="1">IF(L690&gt;0,N690*100/L690,0)</f>
        <v>11.570851166350133</v>
      </c>
      <c r="P690" s="45">
        <f ca="1">IF(M690&gt;0,N690*100/M690,0)</f>
        <v>11.570851166350133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"),40823.1199999999)</f>
        <v>40823.119999999901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"),12)</f>
        <v>12</v>
      </c>
      <c r="K700" s="38">
        <f t="shared" ca="1" si="330"/>
        <v>8.695652173913043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642.53199999999902</v>
      </c>
      <c r="K701" s="195">
        <f t="shared" ca="1" si="330"/>
        <v>34.901249321021133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"),70)</f>
        <v>70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"),75)</f>
        <v>75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"),597.531999999999)</f>
        <v>597.53199999999902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463</v>
      </c>
      <c r="K708" s="195">
        <f ca="1">IF(I708&gt;0,J708*100/I708,0)</f>
        <v>20.47766475011057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"),27)</f>
        <v>27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"),448)</f>
        <v>448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"),41)</f>
        <v>41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"),43)</f>
        <v>43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"),412)</f>
        <v>412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"),8)</f>
        <v>8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"),51)</f>
        <v>51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46</v>
      </c>
      <c r="K721" s="195">
        <f t="shared" ca="1" si="331"/>
        <v>19.008264462809919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402.13</v>
      </c>
      <c r="K722" s="195">
        <f t="shared" ca="1" si="331"/>
        <v>16.340105648110523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"),31)</f>
        <v>31</v>
      </c>
      <c r="K723" s="38">
        <f t="shared" ca="1" si="331"/>
        <v>17.127071823204421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"),36)</f>
        <v>36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"),337.75)</f>
        <v>337.75</v>
      </c>
      <c r="K725" s="38">
        <f t="shared" ref="K725:K726" ca="1" si="332">IF(I725&gt;0,J725*100/I725,0)</f>
        <v>17.795047418335091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489.17750000000001</v>
      </c>
      <c r="K729" s="195">
        <f t="shared" ca="1" si="333"/>
        <v>89.429159049360152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"),153.7525)</f>
        <v>153.7525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"),26)</f>
        <v>26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"),23)</f>
        <v>23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"),335.425)</f>
        <v>335.42500000000001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9" t="s">
        <v>17</v>
      </c>
      <c r="E737" s="852"/>
      <c r="F737" s="852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9" t="s">
        <v>17</v>
      </c>
      <c r="E754" s="852"/>
      <c r="F754" s="852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9" t="s">
        <v>17</v>
      </c>
      <c r="E770" s="852"/>
      <c r="F770" s="852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111933.33</v>
      </c>
      <c r="O786" s="195">
        <f t="shared" ref="O786:O791" ca="1" si="363">IF(L786&gt;0,N786*100/L786,0)</f>
        <v>33.392998210023869</v>
      </c>
      <c r="P786" s="195">
        <f t="shared" ref="P786:P791" ca="1" si="364">IF(M786&gt;0,N786*100/M786,0)</f>
        <v>33.392998210023869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111933.33</v>
      </c>
      <c r="O788" s="45">
        <f t="shared" ca="1" si="363"/>
        <v>33.392998210023869</v>
      </c>
      <c r="P788" s="45">
        <f t="shared" ca="1" si="364"/>
        <v>33.392998210023869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111933.33</v>
      </c>
      <c r="O789" s="38">
        <f t="shared" ca="1" si="363"/>
        <v>33.392998210023869</v>
      </c>
      <c r="P789" s="38">
        <f t="shared" ca="1" si="364"/>
        <v>33.392998210023869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111933.33</v>
      </c>
      <c r="O791" s="45">
        <f t="shared" ca="1" si="363"/>
        <v>33.392998210023869</v>
      </c>
      <c r="P791" s="45">
        <f t="shared" ca="1" si="364"/>
        <v>33.392998210023869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"),77133.33)</f>
        <v>77133.33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9" t="s">
        <v>17</v>
      </c>
      <c r="E805" s="852"/>
      <c r="F805" s="852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1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1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"),103643764.29)</f>
        <v>103643764.29000001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"),45306013.35)</f>
        <v>45306013.350000001</v>
      </c>
      <c r="K821" s="38">
        <f t="shared" ref="K821:K828" ca="1" si="381">IF(I821&gt;0,J821*100/I821,0)</f>
        <v>43.713207118984698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"),3946)</f>
        <v>3946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"),1914)</f>
        <v>1914</v>
      </c>
      <c r="K822" s="38">
        <f t="shared" ca="1" si="381"/>
        <v>48.504815002534215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"),8523816.44)</f>
        <v>8523816.4399999995</v>
      </c>
      <c r="K823" s="38">
        <f t="shared" ca="1" si="381"/>
        <v>8.125081826704994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"),973)</f>
        <v>973</v>
      </c>
      <c r="K824" s="38">
        <f t="shared" ca="1" si="381"/>
        <v>31.417500807232805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"),12134398.75)</f>
        <v>12134398.75</v>
      </c>
      <c r="K825" s="38">
        <f t="shared" ca="1" si="381"/>
        <v>28.482204230163305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"),7003)</f>
        <v>7003</v>
      </c>
      <c r="K826" s="38">
        <f t="shared" ca="1" si="381"/>
        <v>62.920035938903865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"),45205000)</f>
        <v>45205000</v>
      </c>
      <c r="K827" s="38">
        <f t="shared" ca="1" si="381"/>
        <v>40.210816580679591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"),1211)</f>
        <v>1211</v>
      </c>
      <c r="K828" s="502">
        <f t="shared" ca="1" si="381"/>
        <v>30.948121645796064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36AEC-E500-4E63-B22B-EC3E341B719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2617482.4</v>
      </c>
      <c r="N8" s="22">
        <f t="shared" ca="1" si="0"/>
        <v>1961648.9300000002</v>
      </c>
      <c r="O8" s="22">
        <f t="shared" ref="O8:O16" ca="1" si="1">IF(L8&gt;0,N8*100/L8,0)</f>
        <v>63.095004567326257</v>
      </c>
      <c r="P8" s="22">
        <f t="shared" ref="P8:P16" ca="1" si="2">IF(M8&gt;0,N8*100/M8,0)</f>
        <v>74.944111563080625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2617482.4</v>
      </c>
      <c r="N10" s="30">
        <f t="shared" ca="1" si="3"/>
        <v>1961648.9300000002</v>
      </c>
      <c r="O10" s="30">
        <f t="shared" ca="1" si="1"/>
        <v>63.095004567326257</v>
      </c>
      <c r="P10" s="30">
        <f t="shared" ca="1" si="2"/>
        <v>74.944111563080625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2503682.4</v>
      </c>
      <c r="N11" s="497">
        <f t="shared" ca="1" si="4"/>
        <v>1847848.9300000002</v>
      </c>
      <c r="O11" s="497">
        <f t="shared" ca="1" si="1"/>
        <v>61.692850322511731</v>
      </c>
      <c r="P11" s="497">
        <f t="shared" ca="1" si="2"/>
        <v>73.805245026286102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2503682.4</v>
      </c>
      <c r="N13" s="93">
        <f t="shared" ca="1" si="5"/>
        <v>1847848.9300000002</v>
      </c>
      <c r="O13" s="93">
        <f t="shared" ca="1" si="1"/>
        <v>61.692850322511731</v>
      </c>
      <c r="P13" s="93">
        <f t="shared" ca="1" si="2"/>
        <v>73.805245026286102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2327612.4</v>
      </c>
      <c r="N18" s="22">
        <f t="shared" ca="1" si="8"/>
        <v>1856408.9300000002</v>
      </c>
      <c r="O18" s="22">
        <f t="shared" ref="O18:O26" ca="1" si="9">IF(L18&gt;0,N18*100/L18,0)</f>
        <v>65.849485132148828</v>
      </c>
      <c r="P18" s="22">
        <f t="shared" ref="P18:P26" ca="1" si="10">IF(M18&gt;0,N18*100/M18,0)</f>
        <v>79.755930583631553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2327612.4</v>
      </c>
      <c r="N20" s="30">
        <f t="shared" ca="1" si="11"/>
        <v>1856408.9300000002</v>
      </c>
      <c r="O20" s="30">
        <f t="shared" ca="1" si="9"/>
        <v>65.849485132148828</v>
      </c>
      <c r="P20" s="30">
        <f t="shared" ca="1" si="10"/>
        <v>79.755930583631553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2213812.4</v>
      </c>
      <c r="N21" s="497">
        <f t="shared" ca="1" si="12"/>
        <v>1742608.9300000002</v>
      </c>
      <c r="O21" s="497">
        <f t="shared" ca="1" si="9"/>
        <v>64.412961258533969</v>
      </c>
      <c r="P21" s="497">
        <f t="shared" ca="1" si="10"/>
        <v>78.715293581335089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2213812.4</v>
      </c>
      <c r="N23" s="93">
        <f t="shared" ca="1" si="13"/>
        <v>1742608.9300000002</v>
      </c>
      <c r="O23" s="93">
        <f t="shared" ca="1" si="9"/>
        <v>64.412961258533969</v>
      </c>
      <c r="P23" s="93">
        <f t="shared" ca="1" si="10"/>
        <v>78.715293581335089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105240</v>
      </c>
      <c r="O28" s="22">
        <f t="shared" ref="O28:O37" ca="1" si="17">IF(L28&gt;0,N28*100/L28,0)</f>
        <v>36.305930244592403</v>
      </c>
      <c r="P28" s="22">
        <f t="shared" ref="P28:P37" ca="1" si="18">IF(M28&gt;0,N28*100/M28,0)</f>
        <v>36.305930244592403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105240</v>
      </c>
      <c r="O30" s="30">
        <f t="shared" ca="1" si="17"/>
        <v>36.305930244592403</v>
      </c>
      <c r="P30" s="30">
        <f t="shared" ca="1" si="18"/>
        <v>36.305930244592403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289870</v>
      </c>
      <c r="N31" s="497">
        <f t="shared" si="20"/>
        <v>105240</v>
      </c>
      <c r="O31" s="497">
        <f t="shared" ca="1" si="17"/>
        <v>36.305930244592403</v>
      </c>
      <c r="P31" s="497">
        <f t="shared" ca="1" si="18"/>
        <v>36.305930244592403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289870</v>
      </c>
      <c r="N33" s="93">
        <f t="shared" si="21"/>
        <v>105240</v>
      </c>
      <c r="O33" s="93">
        <f t="shared" ca="1" si="17"/>
        <v>36.305930244592403</v>
      </c>
      <c r="P33" s="93">
        <f t="shared" ca="1" si="18"/>
        <v>36.305930244592403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2327612.4</v>
      </c>
      <c r="N37" s="59">
        <f t="shared" ca="1" si="24"/>
        <v>1856408.9300000002</v>
      </c>
      <c r="O37" s="59">
        <f t="shared" ca="1" si="17"/>
        <v>65.849485132148828</v>
      </c>
      <c r="P37" s="59">
        <f t="shared" ca="1" si="18"/>
        <v>79.755930583631553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469367.4</v>
      </c>
      <c r="N41" s="85">
        <f t="shared" ca="1" si="25"/>
        <v>381829.34</v>
      </c>
      <c r="O41" s="85">
        <f t="shared" ref="O41:O49" ca="1" si="26">IF(L41&gt;0,N41*100/L41,0)</f>
        <v>83.405273044997813</v>
      </c>
      <c r="P41" s="85">
        <f t="shared" ref="P41:P49" ca="1" si="27">IF(M41&gt;0,N41*100/M41,0)</f>
        <v>81.349778446479235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469367.4</v>
      </c>
      <c r="N43" s="92">
        <f t="shared" ca="1" si="28"/>
        <v>381829.34</v>
      </c>
      <c r="O43" s="92">
        <f t="shared" ca="1" si="26"/>
        <v>83.405273044997813</v>
      </c>
      <c r="P43" s="92">
        <f t="shared" ca="1" si="27"/>
        <v>81.349778446479235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469367.4</v>
      </c>
      <c r="N44" s="497">
        <f t="shared" ca="1" si="29"/>
        <v>381829.34</v>
      </c>
      <c r="O44" s="497">
        <f t="shared" ca="1" si="26"/>
        <v>83.405273044997813</v>
      </c>
      <c r="P44" s="497">
        <f t="shared" ca="1" si="27"/>
        <v>81.349778446479235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IFERROR(__xludf.DUMMYFUNCTION("IMPORTRANGE(""https://docs.google.com/spreadsheets/d/1MeEWN-I1oV_STSDYn1IFDPWt_1FKiwhDph83XaGc0o0/edit?usp=sharing"",""งบพรบ!R61"")"),469367.4)</f>
        <v>469367.4</v>
      </c>
      <c r="N46" s="93">
        <f ca="1">IFERROR(__xludf.DUMMYFUNCTION("IMPORTRANGE(""https://docs.google.com/spreadsheets/d/1MeEWN-I1oV_STSDYn1IFDPWt_1FKiwhDph83XaGc0o0/edit?usp=sharing"",""งบพรบ!T61"")"),381829.34)</f>
        <v>381829.34</v>
      </c>
      <c r="O46" s="93">
        <f t="shared" ca="1" si="26"/>
        <v>83.405273044997813</v>
      </c>
      <c r="P46" s="93">
        <f t="shared" ca="1" si="27"/>
        <v>81.349778446479235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498525</v>
      </c>
      <c r="N53" s="116">
        <f t="shared" ca="1" si="31"/>
        <v>449603.24</v>
      </c>
      <c r="O53" s="116">
        <f t="shared" ref="O53:O61" ca="1" si="32">IF(L53&gt;0,N53*100/L53,0)</f>
        <v>67.762357196684249</v>
      </c>
      <c r="P53" s="116">
        <f t="shared" ref="P53:P61" ca="1" si="33">IF(M53&gt;0,N53*100/M53,0)</f>
        <v>90.186698761345966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498525</v>
      </c>
      <c r="N55" s="123">
        <f t="shared" ca="1" si="34"/>
        <v>449603.24</v>
      </c>
      <c r="O55" s="123">
        <f t="shared" ca="1" si="32"/>
        <v>67.762357196684249</v>
      </c>
      <c r="P55" s="123">
        <f t="shared" ca="1" si="33"/>
        <v>90.186698761345966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498525</v>
      </c>
      <c r="N56" s="497">
        <f t="shared" ca="1" si="35"/>
        <v>449603.24</v>
      </c>
      <c r="O56" s="497">
        <f t="shared" ca="1" si="32"/>
        <v>67.762357196684249</v>
      </c>
      <c r="P56" s="497">
        <f t="shared" ca="1" si="33"/>
        <v>90.186698761345966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IFERROR(__xludf.DUMMYFUNCTION("IMPORTRANGE(""https://docs.google.com/spreadsheets/d/1MeEWN-I1oV_STSDYn1IFDPWt_1FKiwhDph83XaGc0o0/edit?usp=sharing"",""งบพรบ!AB61"")"),498525)</f>
        <v>498525</v>
      </c>
      <c r="N58" s="93">
        <f ca="1">IFERROR(__xludf.DUMMYFUNCTION("IMPORTRANGE(""https://docs.google.com/spreadsheets/d/1MeEWN-I1oV_STSDYn1IFDPWt_1FKiwhDph83XaGc0o0/edit?usp=sharing"",""งบพรบ!AD61"")"),449603.24)</f>
        <v>449603.24</v>
      </c>
      <c r="O58" s="93">
        <f t="shared" ca="1" si="32"/>
        <v>67.762357196684249</v>
      </c>
      <c r="P58" s="93">
        <f t="shared" ca="1" si="33"/>
        <v>90.186698761345966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9370</v>
      </c>
      <c r="O88" s="155">
        <f t="shared" ref="O88:O96" ca="1" si="50">IF(L88&gt;0,N88*100/L88,0)</f>
        <v>10.890283589028359</v>
      </c>
      <c r="P88" s="155">
        <f t="shared" ref="P88:P96" ca="1" si="51">IF(M88&gt;0,N88*100/M88,0)</f>
        <v>11.809931938492564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9370</v>
      </c>
      <c r="O90" s="93">
        <f t="shared" ca="1" si="50"/>
        <v>10.890283589028359</v>
      </c>
      <c r="P90" s="93">
        <f t="shared" ca="1" si="51"/>
        <v>11.809931938492564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9370</v>
      </c>
      <c r="O91" s="497">
        <f t="shared" ca="1" si="50"/>
        <v>10.890283589028359</v>
      </c>
      <c r="P91" s="497">
        <f t="shared" ca="1" si="51"/>
        <v>11.809931938492564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IFERROR(__xludf.DUMMYFUNCTION("IMPORTRANGE(""https://docs.google.com/spreadsheets/d/1MeEWN-I1oV_STSDYn1IFDPWt_1FKiwhDph83XaGc0o0/edit?usp=sharing"",""งบพรบ!AV61"")"),79340)</f>
        <v>79340</v>
      </c>
      <c r="N93" s="93">
        <f ca="1">IFERROR(__xludf.DUMMYFUNCTION("IMPORTRANGE(""https://docs.google.com/spreadsheets/d/1MeEWN-I1oV_STSDYn1IFDPWt_1FKiwhDph83XaGc0o0/edit?usp=sharing"",""งบพรบ!AX61"")"),9370)</f>
        <v>9370</v>
      </c>
      <c r="O93" s="93">
        <f t="shared" ca="1" si="50"/>
        <v>10.890283589028359</v>
      </c>
      <c r="P93" s="93">
        <f t="shared" ca="1" si="51"/>
        <v>11.809931938492564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30690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30690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30690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IFERROR(__xludf.DUMMYFUNCTION("IMPORTRANGE(""https://docs.google.com/spreadsheets/d/1MeEWN-I1oV_STSDYn1IFDPWt_1FKiwhDph83XaGc0o0/edit?usp=sharing"",""งบพรบ!CJ61"")"),30690)</f>
        <v>30690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711700</v>
      </c>
      <c r="N181" s="155">
        <f t="shared" ca="1" si="92"/>
        <v>578619.68000000005</v>
      </c>
      <c r="O181" s="155">
        <f t="shared" ref="O181:O189" ca="1" si="93">IF(L181&gt;0,N181*100/L181,0)</f>
        <v>62.913958899641194</v>
      </c>
      <c r="P181" s="155">
        <f t="shared" ref="P181:P189" ca="1" si="94">IF(M181&gt;0,N181*100/M181,0)</f>
        <v>81.301065055500928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711700</v>
      </c>
      <c r="N183" s="93">
        <f t="shared" ca="1" si="95"/>
        <v>578619.68000000005</v>
      </c>
      <c r="O183" s="93">
        <f t="shared" ca="1" si="93"/>
        <v>62.913958899641194</v>
      </c>
      <c r="P183" s="93">
        <f t="shared" ca="1" si="94"/>
        <v>81.301065055500928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711700</v>
      </c>
      <c r="N184" s="497">
        <f t="shared" ca="1" si="96"/>
        <v>578619.68000000005</v>
      </c>
      <c r="O184" s="497">
        <f t="shared" ca="1" si="93"/>
        <v>62.913958899641194</v>
      </c>
      <c r="P184" s="497">
        <f t="shared" ca="1" si="94"/>
        <v>81.301065055500928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IFERROR(__xludf.DUMMYFUNCTION("IMPORTRANGE(""https://docs.google.com/spreadsheets/d/1MeEWN-I1oV_STSDYn1IFDPWt_1FKiwhDph83XaGc0o0/edit?usp=sharing"",""งบพรบ!CT61"")"),711700)</f>
        <v>711700</v>
      </c>
      <c r="N186" s="93">
        <f ca="1">IFERROR(__xludf.DUMMYFUNCTION("IMPORTRANGE(""https://docs.google.com/spreadsheets/d/1MeEWN-I1oV_STSDYn1IFDPWt_1FKiwhDph83XaGc0o0/edit?usp=sharing"",""งบพรบ!CV61"")"),578619.68)</f>
        <v>578619.68000000005</v>
      </c>
      <c r="O186" s="93">
        <f t="shared" ca="1" si="93"/>
        <v>62.913958899641194</v>
      </c>
      <c r="P186" s="93">
        <f t="shared" ca="1" si="94"/>
        <v>81.301065055500928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119600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86700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119600</v>
      </c>
      <c r="O238" s="155">
        <f ca="1">IF(L238&gt;0,N238*100/L238,0)</f>
        <v>54.142145767315526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72">
        <v>86700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72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22640</v>
      </c>
      <c r="O261" s="155">
        <f t="shared" ref="O261:O269" ca="1" si="117">IF(L261&gt;0,N261*100/L261,0)</f>
        <v>84.163568773234203</v>
      </c>
      <c r="P261" s="155">
        <f t="shared" ref="P261:P269" ca="1" si="118">IF(M261&gt;0,N261*100/M261,0)</f>
        <v>94.728033472803347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22640</v>
      </c>
      <c r="O263" s="93">
        <f t="shared" ca="1" si="117"/>
        <v>84.163568773234203</v>
      </c>
      <c r="P263" s="93">
        <f t="shared" ca="1" si="118"/>
        <v>94.728033472803347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22640</v>
      </c>
      <c r="O264" s="497">
        <f t="shared" ca="1" si="117"/>
        <v>84.163568773234203</v>
      </c>
      <c r="P264" s="497">
        <f t="shared" ca="1" si="118"/>
        <v>94.728033472803347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IFERROR(__xludf.DUMMYFUNCTION("IMPORTRANGE(""https://docs.google.com/spreadsheets/d/1MeEWN-I1oV_STSDYn1IFDPWt_1FKiwhDph83XaGc0o0/edit?usp=sharing"",""งบพรบ!DD61"")"),23900)</f>
        <v>23900</v>
      </c>
      <c r="N266" s="93">
        <f ca="1">IFERROR(__xludf.DUMMYFUNCTION("IMPORTRANGE(""https://docs.google.com/spreadsheets/d/1MeEWN-I1oV_STSDYn1IFDPWt_1FKiwhDph83XaGc0o0/edit?usp=sharing"",""งบพรบ!DF61"")"),22640)</f>
        <v>22640</v>
      </c>
      <c r="O266" s="93">
        <f t="shared" ca="1" si="117"/>
        <v>84.163568773234203</v>
      </c>
      <c r="P266" s="93">
        <f t="shared" ca="1" si="118"/>
        <v>94.728033472803347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1255</v>
      </c>
      <c r="K327" s="445">
        <f ca="1">IF(I327&gt;0,J327*100/I327,0)</f>
        <v>89.642857142857139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255400</v>
      </c>
      <c r="N328" s="155">
        <f t="shared" ca="1" si="149"/>
        <v>184686.67</v>
      </c>
      <c r="O328" s="155">
        <f t="shared" ref="O328:O336" ca="1" si="150">IF(L328&gt;0,N328*100/L328,0)</f>
        <v>54.770661328588375</v>
      </c>
      <c r="P328" s="155">
        <f t="shared" ref="P328:P336" ca="1" si="151">IF(M328&gt;0,N328*100/M328,0)</f>
        <v>72.312713390759598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255400</v>
      </c>
      <c r="N330" s="93">
        <f t="shared" ca="1" si="152"/>
        <v>184686.67</v>
      </c>
      <c r="O330" s="93">
        <f t="shared" ca="1" si="150"/>
        <v>54.770661328588375</v>
      </c>
      <c r="P330" s="93">
        <f t="shared" ca="1" si="151"/>
        <v>72.312713390759598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255400</v>
      </c>
      <c r="N331" s="497">
        <f t="shared" ca="1" si="153"/>
        <v>184686.67</v>
      </c>
      <c r="O331" s="497">
        <f t="shared" ca="1" si="150"/>
        <v>54.770661328588375</v>
      </c>
      <c r="P331" s="497">
        <f t="shared" ca="1" si="151"/>
        <v>72.312713390759598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IFERROR(__xludf.DUMMYFUNCTION("IMPORTRANGE(""https://docs.google.com/spreadsheets/d/1MeEWN-I1oV_STSDYn1IFDPWt_1FKiwhDph83XaGc0o0/edit?usp=sharing"",""งบพรบ!ER61"")"),255400)</f>
        <v>255400</v>
      </c>
      <c r="N333" s="93">
        <f ca="1">IFERROR(__xludf.DUMMYFUNCTION("IMPORTRANGE(""https://docs.google.com/spreadsheets/d/1MeEWN-I1oV_STSDYn1IFDPWt_1FKiwhDph83XaGc0o0/edit?usp=sharing"",""งบพรบ!ET61"")"),184686.67)</f>
        <v>184686.67</v>
      </c>
      <c r="O333" s="93">
        <f t="shared" ca="1" si="150"/>
        <v>54.770661328588375</v>
      </c>
      <c r="P333" s="93">
        <f t="shared" ca="1" si="151"/>
        <v>72.312713390759598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IFERROR(__xludf.DUMMYFUNCTION("IMPORTRANGE(""https://docs.google.com/spreadsheets/d/1kVcqe37tkHyjCSG3S0O1AXqVkqjo8mSIZil3BcpIysc/edit?usp=sharing"",""ศูนย์!D61"")"),505)</f>
        <v>505</v>
      </c>
      <c r="K338" s="497">
        <f ca="1">IF(I338&gt;0,J338*100/I338,0)</f>
        <v>36.071428571428569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258690</v>
      </c>
      <c r="N345" s="155">
        <f t="shared" ca="1" si="155"/>
        <v>198970</v>
      </c>
      <c r="O345" s="155">
        <f t="shared" ref="O345:O353" ca="1" si="156">IF(L345&gt;0,N345*100/L345,0)</f>
        <v>64.815297413512283</v>
      </c>
      <c r="P345" s="155">
        <f t="shared" ref="P345:P353" ca="1" si="157">IF(M345&gt;0,N345*100/M345,0)</f>
        <v>76.914453593103715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258690</v>
      </c>
      <c r="N347" s="93">
        <f t="shared" ca="1" si="158"/>
        <v>198970</v>
      </c>
      <c r="O347" s="93">
        <f t="shared" ca="1" si="156"/>
        <v>64.815297413512283</v>
      </c>
      <c r="P347" s="93">
        <f t="shared" ca="1" si="157"/>
        <v>76.914453593103715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144890</v>
      </c>
      <c r="N348" s="497">
        <f t="shared" ca="1" si="159"/>
        <v>85170</v>
      </c>
      <c r="O348" s="497">
        <f t="shared" ca="1" si="156"/>
        <v>44.088414949787762</v>
      </c>
      <c r="P348" s="497">
        <f t="shared" ca="1" si="157"/>
        <v>58.782524673890535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IFERROR(__xludf.DUMMYFUNCTION("IMPORTRANGE(""https://docs.google.com/spreadsheets/d/1MeEWN-I1oV_STSDYn1IFDPWt_1FKiwhDph83XaGc0o0/edit?usp=sharing"",""งบพรบ!FB61"")"),144890)</f>
        <v>144890</v>
      </c>
      <c r="N350" s="93">
        <f ca="1">IFERROR(__xludf.DUMMYFUNCTION("IMPORTRANGE(""https://docs.google.com/spreadsheets/d/1MeEWN-I1oV_STSDYn1IFDPWt_1FKiwhDph83XaGc0o0/edit?usp=sharing"",""งบพรบ!FD61"")"),85170)</f>
        <v>85170</v>
      </c>
      <c r="O350" s="93">
        <f t="shared" ca="1" si="156"/>
        <v>44.088414949787762</v>
      </c>
      <c r="P350" s="93">
        <f t="shared" ca="1" si="157"/>
        <v>58.782524673890535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289870</v>
      </c>
      <c r="N414" s="549">
        <f t="shared" si="181"/>
        <v>105240</v>
      </c>
      <c r="O414" s="549">
        <f ca="1">IF(L414&gt;0,N414*100/L414,0)</f>
        <v>36.305930244592403</v>
      </c>
      <c r="P414" s="549">
        <f ca="1">IF(M414&gt;0,N414*100/M414,0)</f>
        <v>36.305930244592403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42800</v>
      </c>
      <c r="O419" s="155">
        <f t="shared" ref="O419:O424" ca="1" si="185">IF(L419&gt;0,N419*100/L419,0)</f>
        <v>64.302884615384613</v>
      </c>
      <c r="P419" s="155">
        <f t="shared" ref="P419:P424" ca="1" si="186">IF(M419&gt;0,N419*100/M419,0)</f>
        <v>64.302884615384613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42800</v>
      </c>
      <c r="O421" s="93">
        <f t="shared" ca="1" si="185"/>
        <v>64.302884615384613</v>
      </c>
      <c r="P421" s="93">
        <f t="shared" ca="1" si="186"/>
        <v>64.302884615384613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42800</v>
      </c>
      <c r="O422" s="497">
        <f t="shared" ca="1" si="185"/>
        <v>64.302884615384613</v>
      </c>
      <c r="P422" s="497">
        <f t="shared" ca="1" si="186"/>
        <v>64.302884615384613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42800</v>
      </c>
      <c r="O424" s="93">
        <f t="shared" ca="1" si="185"/>
        <v>64.302884615384613</v>
      </c>
      <c r="P424" s="93">
        <f t="shared" ca="1" si="186"/>
        <v>64.302884615384613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42800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51060</v>
      </c>
      <c r="O444" s="195">
        <f t="shared" ref="O444:O449" ca="1" si="198">IF(L444&gt;0,N444*100/L444,0)</f>
        <v>72.26153410699122</v>
      </c>
      <c r="P444" s="195">
        <f t="shared" ref="P444:P449" ca="1" si="199">IF(M444&gt;0,N444*100/M444,0)</f>
        <v>72.26153410699122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51060</v>
      </c>
      <c r="O446" s="93">
        <f t="shared" ca="1" si="198"/>
        <v>72.26153410699122</v>
      </c>
      <c r="P446" s="93">
        <f t="shared" ca="1" si="199"/>
        <v>72.26153410699122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51060</v>
      </c>
      <c r="O447" s="497">
        <f t="shared" ca="1" si="198"/>
        <v>72.26153410699122</v>
      </c>
      <c r="P447" s="497">
        <f t="shared" ca="1" si="199"/>
        <v>72.26153410699122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51060</v>
      </c>
      <c r="O449" s="93">
        <f t="shared" ca="1" si="198"/>
        <v>72.26153410699122</v>
      </c>
      <c r="P449" s="93">
        <f t="shared" ca="1" si="199"/>
        <v>72.26153410699122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22660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73200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73200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73200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</f>
        <v>73200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900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79450</v>
      </c>
      <c r="N685" s="195">
        <f t="shared" si="282"/>
        <v>11380</v>
      </c>
      <c r="O685" s="195">
        <f t="shared" ref="O685:O688" ca="1" si="283">IF(L685&gt;0,N685*100/L685,0)</f>
        <v>14.323473882945249</v>
      </c>
      <c r="P685" s="195">
        <f t="shared" ref="P685:P688" ca="1" si="284">IF(M685&gt;0,N685*100/M685,0)</f>
        <v>14.323473882945249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79450</v>
      </c>
      <c r="N687" s="93">
        <f t="shared" si="285"/>
        <v>11380</v>
      </c>
      <c r="O687" s="93">
        <f t="shared" ca="1" si="283"/>
        <v>14.323473882945249</v>
      </c>
      <c r="P687" s="93">
        <f t="shared" ca="1" si="284"/>
        <v>14.323473882945249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79450</v>
      </c>
      <c r="N688" s="497">
        <f t="shared" si="286"/>
        <v>11380</v>
      </c>
      <c r="O688" s="497">
        <f t="shared" ca="1" si="283"/>
        <v>14.323473882945249</v>
      </c>
      <c r="P688" s="497">
        <f t="shared" ca="1" si="284"/>
        <v>14.323473882945249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</f>
        <v>79450</v>
      </c>
      <c r="N690" s="93">
        <f>N691+N692+N693+N694</f>
        <v>11380</v>
      </c>
      <c r="O690" s="93">
        <f ca="1">IF(L690&gt;0,N690*100/L690,0)</f>
        <v>14.323473882945249</v>
      </c>
      <c r="P690" s="93">
        <f ca="1">IF(M690&gt;0,N690*100/M690,0)</f>
        <v>14.323473882945249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11380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IFERROR(__xludf.DUMMYFUNCTION("IMPORTRANGE(""https://docs.google.com/spreadsheets/d/1XWAQStnk-4SwqDmLtmXYiTMKHgktTP8We1SCoS47DrQ/edit?usp=sharing"",""จัดที่ดิน!BD61"")"),7)</f>
        <v>7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318.53199999999998</v>
      </c>
      <c r="K701" s="195">
        <f t="shared" ca="1" si="290"/>
        <v>106.17733333333332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42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900">
        <v>318.53199999999998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312</v>
      </c>
      <c r="K708" s="195">
        <f ca="1">IF(I708&gt;0,J708*100/I708,0)</f>
        <v>89.142857142857139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23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312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21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23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312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1</v>
      </c>
      <c r="K721" s="195">
        <f t="shared" ca="1" si="291"/>
        <v>2.5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23.97</v>
      </c>
      <c r="K722" s="195">
        <f t="shared" ca="1" si="291"/>
        <v>5.9924999999999997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IFERROR(__xludf.DUMMYFUNCTION("IMPORTRANGE(""https://docs.google.com/spreadsheets/d/1XWAQStnk-4SwqDmLtmXYiTMKHgktTP8We1SCoS47DrQ/edit?usp=sharing"",""จัดที่ดิน!BO61"")"),23.97)</f>
        <v>23.97</v>
      </c>
      <c r="K725" s="497">
        <f t="shared" ref="K725:K726" ca="1" si="292">IF(I725&gt;0,J725*100/I725,0)</f>
        <v>11.984999999999999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76.137500000000003</v>
      </c>
      <c r="K729" s="195">
        <f t="shared" ca="1" si="293"/>
        <v>152.27500000000001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900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4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901">
        <v>76.137500000000003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IFERROR(__xludf.DUMMYFUNCTION("IMPORTRANGE(""https://docs.google.com/spreadsheets/d/19vJNZY_5yjcGF2XGBMNZRCAIB0Kwfpjp8YEOfu-bneM/edit?usp=sharing"",""งานกองทุน!F61"")"),862500)</f>
        <v>862500</v>
      </c>
      <c r="K821" s="497">
        <f t="shared" ref="K821:K828" ca="1" si="335">IF(I821&gt;0,J821*100/I821,0)</f>
        <v>88.01020497969597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IFERROR(__xludf.DUMMYFUNCTION("IMPORTRANGE(""https://docs.google.com/spreadsheets/d/19vJNZY_5yjcGF2XGBMNZRCAIB0Kwfpjp8YEOfu-bneM/edit?usp=sharing"",""งานกองทุน!E61"")"),29)</f>
        <v>29</v>
      </c>
      <c r="K822" s="497">
        <f t="shared" ca="1" si="335"/>
        <v>90.625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IFERROR(__xludf.DUMMYFUNCTION("IMPORTRANGE(""https://docs.google.com/spreadsheets/d/19vJNZY_5yjcGF2XGBMNZRCAIB0Kwfpjp8YEOfu-bneM/edit?usp=sharing"",""งานกองทุน!K61"")"),30891.21)</f>
        <v>30891.21</v>
      </c>
      <c r="K823" s="497">
        <f t="shared" ca="1" si="335"/>
        <v>14.531508453088138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IFERROR(__xludf.DUMMYFUNCTION("IMPORTRANGE(""https://docs.google.com/spreadsheets/d/19vJNZY_5yjcGF2XGBMNZRCAIB0Kwfpjp8YEOfu-bneM/edit?usp=sharing"",""งานกองทุน!J61"")"),4)</f>
        <v>4</v>
      </c>
      <c r="K824" s="497">
        <f t="shared" ca="1" si="335"/>
        <v>50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IFERROR(__xludf.DUMMYFUNCTION("IMPORTRANGE(""https://docs.google.com/spreadsheets/d/19vJNZY_5yjcGF2XGBMNZRCAIB0Kwfpjp8YEOfu-bneM/edit?usp=sharing"",""งานกองทุน!P61"")"),1260435.08)</f>
        <v>1260435.08</v>
      </c>
      <c r="K825" s="497">
        <f t="shared" ca="1" si="335"/>
        <v>43.068389164304435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IFERROR(__xludf.DUMMYFUNCTION("IMPORTRANGE(""https://docs.google.com/spreadsheets/d/19vJNZY_5yjcGF2XGBMNZRCAIB0Kwfpjp8YEOfu-bneM/edit?usp=sharing"",""งานกองทุน!O61"")"),1483)</f>
        <v>1483</v>
      </c>
      <c r="K826" s="497">
        <f t="shared" ca="1" si="335"/>
        <v>77.40083507306889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IFERROR(__xludf.DUMMYFUNCTION("IMPORTRANGE(""https://docs.google.com/spreadsheets/d/19vJNZY_5yjcGF2XGBMNZRCAIB0Kwfpjp8YEOfu-bneM/edit?usp=sharing"",""งานกองทุน!U61"")"),800000)</f>
        <v>800000</v>
      </c>
      <c r="K827" s="497">
        <f t="shared" ca="1" si="335"/>
        <v>74.074074074074076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IFERROR(__xludf.DUMMYFUNCTION("IMPORTRANGE(""https://docs.google.com/spreadsheets/d/19vJNZY_5yjcGF2XGBMNZRCAIB0Kwfpjp8YEOfu-bneM/edit?usp=sharing"",""งานกองทุน!T61"")"),27)</f>
        <v>27</v>
      </c>
      <c r="K828" s="502">
        <f t="shared" ca="1" si="335"/>
        <v>64.285714285714292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DEFE2-B613-4AA3-9985-73FB2AE4CBBD}">
  <sheetPr>
    <outlinePr summaryBelow="0" summaryRight="0"/>
    <pageSetUpPr fitToPage="1"/>
  </sheetPr>
  <dimension ref="A1:Z828"/>
  <sheetViews>
    <sheetView view="pageBreakPreview" topLeftCell="B1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902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902" t="s">
        <v>348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902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903"/>
      <c r="B4" s="903"/>
      <c r="C4" s="903"/>
      <c r="D4" s="903"/>
      <c r="E4" s="903"/>
      <c r="F4" s="903"/>
      <c r="G4" s="903"/>
      <c r="H4" s="903"/>
      <c r="I4" s="903"/>
      <c r="J4" s="904"/>
      <c r="K4" s="905"/>
      <c r="L4" s="904"/>
      <c r="M4" s="904"/>
      <c r="N4" s="904"/>
      <c r="O4" s="903"/>
      <c r="P4" s="903"/>
    </row>
    <row r="5" spans="1:26" ht="19.5">
      <c r="A5" s="906" t="s">
        <v>2</v>
      </c>
      <c r="B5" s="840"/>
      <c r="C5" s="840"/>
      <c r="D5" s="840"/>
      <c r="E5" s="840"/>
      <c r="F5" s="840"/>
      <c r="G5" s="907"/>
      <c r="H5" s="908" t="s">
        <v>3</v>
      </c>
      <c r="I5" s="909" t="s">
        <v>4</v>
      </c>
      <c r="J5" s="910"/>
      <c r="K5" s="911"/>
      <c r="L5" s="912" t="s">
        <v>5</v>
      </c>
      <c r="M5" s="911"/>
      <c r="N5" s="913" t="s">
        <v>6</v>
      </c>
      <c r="O5" s="910"/>
      <c r="P5" s="911"/>
    </row>
    <row r="6" spans="1:26" ht="19.5">
      <c r="A6" s="914"/>
      <c r="B6" s="910"/>
      <c r="C6" s="910"/>
      <c r="D6" s="910"/>
      <c r="E6" s="910"/>
      <c r="F6" s="910"/>
      <c r="G6" s="911"/>
      <c r="H6" s="911"/>
      <c r="I6" s="915" t="s">
        <v>7</v>
      </c>
      <c r="J6" s="916" t="s">
        <v>8</v>
      </c>
      <c r="K6" s="915" t="s">
        <v>9</v>
      </c>
      <c r="L6" s="917" t="s">
        <v>10</v>
      </c>
      <c r="M6" s="918" t="s">
        <v>11</v>
      </c>
      <c r="N6" s="919" t="s">
        <v>12</v>
      </c>
      <c r="O6" s="920" t="s">
        <v>13</v>
      </c>
      <c r="P6" s="921" t="s">
        <v>14</v>
      </c>
    </row>
    <row r="7" spans="1:26" ht="19.5">
      <c r="A7" s="922" t="s">
        <v>15</v>
      </c>
      <c r="B7" s="910"/>
      <c r="C7" s="910"/>
      <c r="D7" s="910"/>
      <c r="E7" s="910"/>
      <c r="F7" s="910"/>
      <c r="G7" s="911"/>
      <c r="H7" s="923"/>
      <c r="I7" s="924"/>
      <c r="J7" s="924"/>
      <c r="K7" s="925"/>
      <c r="L7" s="925"/>
      <c r="M7" s="925"/>
      <c r="N7" s="925"/>
      <c r="O7" s="925"/>
      <c r="P7" s="925"/>
    </row>
    <row r="8" spans="1:26" ht="19.5">
      <c r="A8" s="926"/>
      <c r="B8" s="927"/>
      <c r="C8" s="928" t="s">
        <v>16</v>
      </c>
      <c r="D8" s="929" t="s">
        <v>17</v>
      </c>
      <c r="E8" s="927"/>
      <c r="F8" s="927"/>
      <c r="G8" s="930"/>
      <c r="H8" s="931" t="s">
        <v>12</v>
      </c>
      <c r="I8" s="932"/>
      <c r="J8" s="932"/>
      <c r="K8" s="933"/>
      <c r="L8" s="934">
        <f t="shared" ref="L8:N8" ca="1" si="0">L9+L10</f>
        <v>3206275</v>
      </c>
      <c r="M8" s="934">
        <f t="shared" ca="1" si="0"/>
        <v>2842661</v>
      </c>
      <c r="N8" s="934">
        <f t="shared" ca="1" si="0"/>
        <v>1741576.19</v>
      </c>
      <c r="O8" s="934">
        <f t="shared" ref="O8:O16" ca="1" si="1">IF(L8&gt;0,N8*100/L8,0)</f>
        <v>54.317742239826593</v>
      </c>
      <c r="P8" s="934">
        <f t="shared" ref="P8:P16" ca="1" si="2">IF(M8&gt;0,N8*100/M8,0)</f>
        <v>61.265701045604807</v>
      </c>
      <c r="Q8" s="935"/>
      <c r="R8" s="935"/>
      <c r="S8" s="935"/>
      <c r="T8" s="935"/>
      <c r="U8" s="935"/>
      <c r="V8" s="935"/>
      <c r="W8" s="935"/>
      <c r="X8" s="935"/>
      <c r="Y8" s="935"/>
      <c r="Z8" s="935"/>
    </row>
    <row r="9" spans="1:26" ht="18.75" hidden="1">
      <c r="A9" s="936"/>
      <c r="B9" s="937"/>
      <c r="C9" s="937"/>
      <c r="D9" s="937"/>
      <c r="E9" s="938" t="s">
        <v>18</v>
      </c>
      <c r="F9" s="937"/>
      <c r="G9" s="939"/>
      <c r="H9" s="940" t="s">
        <v>12</v>
      </c>
      <c r="I9" s="941"/>
      <c r="J9" s="941"/>
      <c r="K9" s="942"/>
      <c r="L9" s="942">
        <f t="shared" ref="L9:N10" si="3">L12+L15</f>
        <v>0</v>
      </c>
      <c r="M9" s="942">
        <f t="shared" si="3"/>
        <v>0</v>
      </c>
      <c r="N9" s="942">
        <f t="shared" si="3"/>
        <v>0</v>
      </c>
      <c r="O9" s="942">
        <f t="shared" si="1"/>
        <v>0</v>
      </c>
      <c r="P9" s="942">
        <f t="shared" si="2"/>
        <v>0</v>
      </c>
      <c r="Q9" s="943"/>
      <c r="R9" s="943"/>
      <c r="S9" s="943"/>
      <c r="T9" s="943"/>
      <c r="U9" s="943"/>
      <c r="V9" s="943"/>
      <c r="W9" s="943"/>
      <c r="X9" s="943"/>
      <c r="Y9" s="943"/>
      <c r="Z9" s="943"/>
    </row>
    <row r="10" spans="1:26" ht="18.75" hidden="1">
      <c r="A10" s="936"/>
      <c r="B10" s="937"/>
      <c r="C10" s="937"/>
      <c r="D10" s="937"/>
      <c r="E10" s="938" t="s">
        <v>19</v>
      </c>
      <c r="F10" s="937"/>
      <c r="G10" s="939"/>
      <c r="H10" s="940" t="s">
        <v>12</v>
      </c>
      <c r="I10" s="941"/>
      <c r="J10" s="941"/>
      <c r="K10" s="942"/>
      <c r="L10" s="942">
        <f t="shared" ca="1" si="3"/>
        <v>3206275</v>
      </c>
      <c r="M10" s="942">
        <f t="shared" ca="1" si="3"/>
        <v>2842661</v>
      </c>
      <c r="N10" s="942">
        <f t="shared" ca="1" si="3"/>
        <v>1741576.19</v>
      </c>
      <c r="O10" s="942">
        <f t="shared" ca="1" si="1"/>
        <v>54.317742239826593</v>
      </c>
      <c r="P10" s="942">
        <f t="shared" ca="1" si="2"/>
        <v>61.265701045604807</v>
      </c>
      <c r="Q10" s="943"/>
      <c r="R10" s="943"/>
      <c r="S10" s="943"/>
      <c r="T10" s="943"/>
      <c r="U10" s="943"/>
      <c r="V10" s="943"/>
      <c r="W10" s="943"/>
      <c r="X10" s="943"/>
      <c r="Y10" s="943"/>
      <c r="Z10" s="943"/>
    </row>
    <row r="11" spans="1:26" ht="18.75">
      <c r="A11" s="944"/>
      <c r="B11" s="945"/>
      <c r="C11" s="945"/>
      <c r="D11" s="946" t="s">
        <v>20</v>
      </c>
      <c r="E11" s="945"/>
      <c r="F11" s="945"/>
      <c r="G11" s="947"/>
      <c r="H11" s="948" t="s">
        <v>12</v>
      </c>
      <c r="I11" s="949"/>
      <c r="J11" s="949"/>
      <c r="K11" s="950"/>
      <c r="L11" s="950">
        <f t="shared" ref="L11:N11" ca="1" si="4">L12+L13</f>
        <v>3054675</v>
      </c>
      <c r="M11" s="950">
        <f t="shared" ca="1" si="4"/>
        <v>2691061</v>
      </c>
      <c r="N11" s="950">
        <f t="shared" ca="1" si="4"/>
        <v>1589976.19</v>
      </c>
      <c r="O11" s="950">
        <f t="shared" ca="1" si="1"/>
        <v>52.050584432059054</v>
      </c>
      <c r="P11" s="950">
        <f t="shared" ca="1" si="2"/>
        <v>59.083617576859091</v>
      </c>
      <c r="Q11" s="935"/>
      <c r="R11" s="935"/>
      <c r="S11" s="935"/>
      <c r="T11" s="935"/>
      <c r="U11" s="935"/>
      <c r="V11" s="935"/>
      <c r="W11" s="935"/>
      <c r="X11" s="935"/>
      <c r="Y11" s="935"/>
      <c r="Z11" s="935"/>
    </row>
    <row r="12" spans="1:26" ht="18.75" hidden="1">
      <c r="A12" s="951"/>
      <c r="B12" s="952"/>
      <c r="C12" s="952"/>
      <c r="D12" s="952"/>
      <c r="E12" s="953" t="s">
        <v>18</v>
      </c>
      <c r="F12" s="952"/>
      <c r="G12" s="954"/>
      <c r="H12" s="955" t="s">
        <v>12</v>
      </c>
      <c r="I12" s="956"/>
      <c r="J12" s="956"/>
      <c r="K12" s="957"/>
      <c r="L12" s="957">
        <f t="shared" ref="L12:N13" si="5">L22+L32</f>
        <v>0</v>
      </c>
      <c r="M12" s="957">
        <f t="shared" si="5"/>
        <v>0</v>
      </c>
      <c r="N12" s="957">
        <f t="shared" si="5"/>
        <v>0</v>
      </c>
      <c r="O12" s="957">
        <f t="shared" si="1"/>
        <v>0</v>
      </c>
      <c r="P12" s="957">
        <f t="shared" si="2"/>
        <v>0</v>
      </c>
      <c r="Q12" s="943"/>
      <c r="R12" s="943"/>
      <c r="S12" s="943"/>
      <c r="T12" s="943"/>
      <c r="U12" s="943"/>
      <c r="V12" s="943"/>
      <c r="W12" s="943"/>
      <c r="X12" s="943"/>
      <c r="Y12" s="943"/>
      <c r="Z12" s="943"/>
    </row>
    <row r="13" spans="1:26" ht="18.75" hidden="1">
      <c r="A13" s="951"/>
      <c r="B13" s="952"/>
      <c r="C13" s="952"/>
      <c r="D13" s="952"/>
      <c r="E13" s="953" t="s">
        <v>19</v>
      </c>
      <c r="F13" s="952"/>
      <c r="G13" s="954"/>
      <c r="H13" s="955" t="s">
        <v>12</v>
      </c>
      <c r="I13" s="956"/>
      <c r="J13" s="956"/>
      <c r="K13" s="957"/>
      <c r="L13" s="957">
        <f t="shared" ca="1" si="5"/>
        <v>3054675</v>
      </c>
      <c r="M13" s="957">
        <f t="shared" ca="1" si="5"/>
        <v>2691061</v>
      </c>
      <c r="N13" s="957">
        <f t="shared" ca="1" si="5"/>
        <v>1589976.19</v>
      </c>
      <c r="O13" s="957">
        <f t="shared" ca="1" si="1"/>
        <v>52.050584432059054</v>
      </c>
      <c r="P13" s="957">
        <f t="shared" ca="1" si="2"/>
        <v>59.083617576859091</v>
      </c>
      <c r="Q13" s="943"/>
      <c r="R13" s="943"/>
      <c r="S13" s="943"/>
      <c r="T13" s="943"/>
      <c r="U13" s="943"/>
      <c r="V13" s="943"/>
      <c r="W13" s="943"/>
      <c r="X13" s="943"/>
      <c r="Y13" s="943"/>
      <c r="Z13" s="943"/>
    </row>
    <row r="14" spans="1:26" ht="18.75">
      <c r="A14" s="944"/>
      <c r="B14" s="945"/>
      <c r="C14" s="945"/>
      <c r="D14" s="946" t="s">
        <v>21</v>
      </c>
      <c r="E14" s="945"/>
      <c r="F14" s="945"/>
      <c r="G14" s="947"/>
      <c r="H14" s="948" t="s">
        <v>12</v>
      </c>
      <c r="I14" s="949"/>
      <c r="J14" s="949"/>
      <c r="K14" s="950"/>
      <c r="L14" s="950">
        <f t="shared" ref="L14:N14" ca="1" si="6">L15+L16</f>
        <v>151600</v>
      </c>
      <c r="M14" s="950">
        <f t="shared" ca="1" si="6"/>
        <v>151600</v>
      </c>
      <c r="N14" s="950">
        <f t="shared" ca="1" si="6"/>
        <v>151600</v>
      </c>
      <c r="O14" s="950">
        <f t="shared" ca="1" si="1"/>
        <v>100</v>
      </c>
      <c r="P14" s="950">
        <f t="shared" ca="1" si="2"/>
        <v>100</v>
      </c>
      <c r="Q14" s="935"/>
      <c r="R14" s="935"/>
      <c r="S14" s="935"/>
      <c r="T14" s="935"/>
      <c r="U14" s="935"/>
      <c r="V14" s="935"/>
      <c r="W14" s="935"/>
      <c r="X14" s="935"/>
      <c r="Y14" s="935"/>
      <c r="Z14" s="935"/>
    </row>
    <row r="15" spans="1:26" ht="18.75" hidden="1">
      <c r="A15" s="951"/>
      <c r="B15" s="952"/>
      <c r="C15" s="952"/>
      <c r="D15" s="952"/>
      <c r="E15" s="953" t="s">
        <v>18</v>
      </c>
      <c r="F15" s="952"/>
      <c r="G15" s="954"/>
      <c r="H15" s="955" t="s">
        <v>12</v>
      </c>
      <c r="I15" s="956"/>
      <c r="J15" s="956"/>
      <c r="K15" s="957"/>
      <c r="L15" s="957">
        <f t="shared" ref="L15:N16" si="7">L25+L35</f>
        <v>0</v>
      </c>
      <c r="M15" s="957">
        <f t="shared" si="7"/>
        <v>0</v>
      </c>
      <c r="N15" s="957">
        <f t="shared" si="7"/>
        <v>0</v>
      </c>
      <c r="O15" s="957">
        <f t="shared" si="1"/>
        <v>0</v>
      </c>
      <c r="P15" s="957">
        <f t="shared" si="2"/>
        <v>0</v>
      </c>
      <c r="Q15" s="943"/>
      <c r="R15" s="943"/>
      <c r="S15" s="943"/>
      <c r="T15" s="943"/>
      <c r="U15" s="943"/>
      <c r="V15" s="943"/>
      <c r="W15" s="943"/>
      <c r="X15" s="943"/>
      <c r="Y15" s="943"/>
      <c r="Z15" s="943"/>
    </row>
    <row r="16" spans="1:26" ht="18.75" hidden="1">
      <c r="A16" s="958"/>
      <c r="B16" s="959"/>
      <c r="C16" s="959"/>
      <c r="D16" s="959"/>
      <c r="E16" s="960" t="s">
        <v>19</v>
      </c>
      <c r="F16" s="959"/>
      <c r="G16" s="961"/>
      <c r="H16" s="962" t="s">
        <v>12</v>
      </c>
      <c r="I16" s="963"/>
      <c r="J16" s="963"/>
      <c r="K16" s="964"/>
      <c r="L16" s="964">
        <f t="shared" ca="1" si="7"/>
        <v>151600</v>
      </c>
      <c r="M16" s="964">
        <f t="shared" ca="1" si="7"/>
        <v>151600</v>
      </c>
      <c r="N16" s="964">
        <f t="shared" ca="1" si="7"/>
        <v>151600</v>
      </c>
      <c r="O16" s="964">
        <f t="shared" ca="1" si="1"/>
        <v>100</v>
      </c>
      <c r="P16" s="964">
        <f t="shared" ca="1" si="2"/>
        <v>100</v>
      </c>
      <c r="Q16" s="943"/>
      <c r="R16" s="943"/>
      <c r="S16" s="943"/>
      <c r="T16" s="943"/>
      <c r="U16" s="943"/>
      <c r="V16" s="943"/>
      <c r="W16" s="943"/>
      <c r="X16" s="943"/>
      <c r="Y16" s="943"/>
      <c r="Z16" s="943"/>
    </row>
    <row r="17" spans="1:26" ht="19.5">
      <c r="A17" s="922" t="s">
        <v>22</v>
      </c>
      <c r="B17" s="910"/>
      <c r="C17" s="910"/>
      <c r="D17" s="910"/>
      <c r="E17" s="910"/>
      <c r="F17" s="910"/>
      <c r="G17" s="911"/>
      <c r="H17" s="923"/>
      <c r="I17" s="924"/>
      <c r="J17" s="924"/>
      <c r="K17" s="925"/>
      <c r="L17" s="925"/>
      <c r="M17" s="925"/>
      <c r="N17" s="925"/>
      <c r="O17" s="925"/>
      <c r="P17" s="925"/>
    </row>
    <row r="18" spans="1:26" ht="19.5">
      <c r="A18" s="926"/>
      <c r="B18" s="927"/>
      <c r="C18" s="928" t="s">
        <v>16</v>
      </c>
      <c r="D18" s="929" t="s">
        <v>17</v>
      </c>
      <c r="E18" s="927"/>
      <c r="F18" s="927"/>
      <c r="G18" s="930"/>
      <c r="H18" s="931" t="s">
        <v>12</v>
      </c>
      <c r="I18" s="932"/>
      <c r="J18" s="932"/>
      <c r="K18" s="933"/>
      <c r="L18" s="934">
        <f t="shared" ref="L18:N18" ca="1" si="8">L19+L20</f>
        <v>2083810</v>
      </c>
      <c r="M18" s="934">
        <f t="shared" ca="1" si="8"/>
        <v>1720196</v>
      </c>
      <c r="N18" s="934">
        <f t="shared" ca="1" si="8"/>
        <v>1341105.1299999999</v>
      </c>
      <c r="O18" s="934">
        <f t="shared" ref="O18:O26" ca="1" si="9">IF(L18&gt;0,N18*100/L18,0)</f>
        <v>64.358321056142344</v>
      </c>
      <c r="P18" s="934">
        <f t="shared" ref="P18:P26" ca="1" si="10">IF(M18&gt;0,N18*100/M18,0)</f>
        <v>77.962344407265206</v>
      </c>
      <c r="Q18" s="935"/>
      <c r="R18" s="935"/>
      <c r="S18" s="935"/>
      <c r="T18" s="935"/>
      <c r="U18" s="935"/>
      <c r="V18" s="935"/>
      <c r="W18" s="935"/>
      <c r="X18" s="935"/>
      <c r="Y18" s="935"/>
      <c r="Z18" s="935"/>
    </row>
    <row r="19" spans="1:26" ht="18.75" hidden="1">
      <c r="A19" s="936"/>
      <c r="B19" s="937"/>
      <c r="C19" s="937"/>
      <c r="D19" s="937"/>
      <c r="E19" s="938" t="s">
        <v>18</v>
      </c>
      <c r="F19" s="937"/>
      <c r="G19" s="939"/>
      <c r="H19" s="940" t="s">
        <v>12</v>
      </c>
      <c r="I19" s="941"/>
      <c r="J19" s="941"/>
      <c r="K19" s="942"/>
      <c r="L19" s="942">
        <f t="shared" ref="L19:N20" si="11">L22+L25</f>
        <v>0</v>
      </c>
      <c r="M19" s="942">
        <f t="shared" si="11"/>
        <v>0</v>
      </c>
      <c r="N19" s="942">
        <f t="shared" si="11"/>
        <v>0</v>
      </c>
      <c r="O19" s="942">
        <f t="shared" si="9"/>
        <v>0</v>
      </c>
      <c r="P19" s="942">
        <f t="shared" si="10"/>
        <v>0</v>
      </c>
      <c r="Q19" s="943"/>
      <c r="R19" s="943"/>
      <c r="S19" s="943"/>
      <c r="T19" s="943"/>
      <c r="U19" s="943"/>
      <c r="V19" s="943"/>
      <c r="W19" s="943"/>
      <c r="X19" s="943"/>
      <c r="Y19" s="943"/>
      <c r="Z19" s="943"/>
    </row>
    <row r="20" spans="1:26" ht="18.75" hidden="1">
      <c r="A20" s="936"/>
      <c r="B20" s="937"/>
      <c r="C20" s="937"/>
      <c r="D20" s="937"/>
      <c r="E20" s="938" t="s">
        <v>19</v>
      </c>
      <c r="F20" s="937"/>
      <c r="G20" s="939"/>
      <c r="H20" s="940" t="s">
        <v>12</v>
      </c>
      <c r="I20" s="941"/>
      <c r="J20" s="941"/>
      <c r="K20" s="942"/>
      <c r="L20" s="942">
        <f t="shared" ca="1" si="11"/>
        <v>2083810</v>
      </c>
      <c r="M20" s="942">
        <f t="shared" ca="1" si="11"/>
        <v>1720196</v>
      </c>
      <c r="N20" s="942">
        <f t="shared" ca="1" si="11"/>
        <v>1341105.1299999999</v>
      </c>
      <c r="O20" s="942">
        <f t="shared" ca="1" si="9"/>
        <v>64.358321056142344</v>
      </c>
      <c r="P20" s="942">
        <f t="shared" ca="1" si="10"/>
        <v>77.962344407265206</v>
      </c>
      <c r="Q20" s="943"/>
      <c r="R20" s="943"/>
      <c r="S20" s="943"/>
      <c r="T20" s="943"/>
      <c r="U20" s="943"/>
      <c r="V20" s="943"/>
      <c r="W20" s="943"/>
      <c r="X20" s="943"/>
      <c r="Y20" s="943"/>
      <c r="Z20" s="943"/>
    </row>
    <row r="21" spans="1:26" ht="18.75">
      <c r="A21" s="944"/>
      <c r="B21" s="945"/>
      <c r="C21" s="945"/>
      <c r="D21" s="946" t="s">
        <v>20</v>
      </c>
      <c r="E21" s="945"/>
      <c r="F21" s="945"/>
      <c r="G21" s="947"/>
      <c r="H21" s="948" t="s">
        <v>12</v>
      </c>
      <c r="I21" s="949"/>
      <c r="J21" s="949"/>
      <c r="K21" s="950"/>
      <c r="L21" s="950">
        <f t="shared" ref="L21:N21" ca="1" si="12">L22+L23</f>
        <v>1932210</v>
      </c>
      <c r="M21" s="950">
        <f t="shared" ca="1" si="12"/>
        <v>1568596</v>
      </c>
      <c r="N21" s="950">
        <f t="shared" ca="1" si="12"/>
        <v>1189505.1299999999</v>
      </c>
      <c r="O21" s="950">
        <f t="shared" ca="1" si="9"/>
        <v>61.56189699877342</v>
      </c>
      <c r="P21" s="950">
        <f t="shared" ca="1" si="10"/>
        <v>75.83247247857318</v>
      </c>
      <c r="Q21" s="935"/>
      <c r="R21" s="935"/>
      <c r="S21" s="935"/>
      <c r="T21" s="935"/>
      <c r="U21" s="935"/>
      <c r="V21" s="935"/>
      <c r="W21" s="935"/>
      <c r="X21" s="935"/>
      <c r="Y21" s="935"/>
      <c r="Z21" s="935"/>
    </row>
    <row r="22" spans="1:26" ht="18.75" hidden="1">
      <c r="A22" s="951"/>
      <c r="B22" s="952"/>
      <c r="C22" s="952"/>
      <c r="D22" s="952"/>
      <c r="E22" s="953" t="s">
        <v>18</v>
      </c>
      <c r="F22" s="952"/>
      <c r="G22" s="954"/>
      <c r="H22" s="955" t="s">
        <v>12</v>
      </c>
      <c r="I22" s="956"/>
      <c r="J22" s="956"/>
      <c r="K22" s="957"/>
      <c r="L22" s="957">
        <f t="shared" ref="L22:N23" si="13">L45+L57+L70+L92+L123+L136+L153+L185+L169+L265+L281+L302+L319+L332+L349+L393+L406</f>
        <v>0</v>
      </c>
      <c r="M22" s="957">
        <f t="shared" si="13"/>
        <v>0</v>
      </c>
      <c r="N22" s="957">
        <f t="shared" si="13"/>
        <v>0</v>
      </c>
      <c r="O22" s="957">
        <f t="shared" si="9"/>
        <v>0</v>
      </c>
      <c r="P22" s="957">
        <f t="shared" si="10"/>
        <v>0</v>
      </c>
      <c r="Q22" s="943"/>
      <c r="R22" s="943"/>
      <c r="S22" s="943"/>
      <c r="T22" s="943"/>
      <c r="U22" s="943"/>
      <c r="V22" s="943"/>
      <c r="W22" s="943"/>
      <c r="X22" s="943"/>
      <c r="Y22" s="943"/>
      <c r="Z22" s="943"/>
    </row>
    <row r="23" spans="1:26" ht="18.75" hidden="1">
      <c r="A23" s="951"/>
      <c r="B23" s="952"/>
      <c r="C23" s="952"/>
      <c r="D23" s="952"/>
      <c r="E23" s="953" t="s">
        <v>19</v>
      </c>
      <c r="F23" s="952"/>
      <c r="G23" s="954"/>
      <c r="H23" s="955" t="s">
        <v>12</v>
      </c>
      <c r="I23" s="956"/>
      <c r="J23" s="956"/>
      <c r="K23" s="957"/>
      <c r="L23" s="957">
        <f t="shared" ca="1" si="13"/>
        <v>1932210</v>
      </c>
      <c r="M23" s="957">
        <f t="shared" ca="1" si="13"/>
        <v>1568596</v>
      </c>
      <c r="N23" s="957">
        <f t="shared" ca="1" si="13"/>
        <v>1189505.1299999999</v>
      </c>
      <c r="O23" s="957">
        <f t="shared" ca="1" si="9"/>
        <v>61.56189699877342</v>
      </c>
      <c r="P23" s="957">
        <f t="shared" ca="1" si="10"/>
        <v>75.83247247857318</v>
      </c>
      <c r="Q23" s="943"/>
      <c r="R23" s="943"/>
      <c r="S23" s="943"/>
      <c r="T23" s="943"/>
      <c r="U23" s="943"/>
      <c r="V23" s="943"/>
      <c r="W23" s="943"/>
      <c r="X23" s="943"/>
      <c r="Y23" s="943"/>
      <c r="Z23" s="943"/>
    </row>
    <row r="24" spans="1:26" ht="18.75">
      <c r="A24" s="944"/>
      <c r="B24" s="945"/>
      <c r="C24" s="945"/>
      <c r="D24" s="946" t="s">
        <v>21</v>
      </c>
      <c r="E24" s="945"/>
      <c r="F24" s="945"/>
      <c r="G24" s="947"/>
      <c r="H24" s="948" t="s">
        <v>12</v>
      </c>
      <c r="I24" s="949"/>
      <c r="J24" s="949"/>
      <c r="K24" s="950"/>
      <c r="L24" s="950">
        <f t="shared" ref="L24:N24" ca="1" si="14">L25+L26</f>
        <v>151600</v>
      </c>
      <c r="M24" s="950">
        <f t="shared" ca="1" si="14"/>
        <v>151600</v>
      </c>
      <c r="N24" s="950">
        <f t="shared" ca="1" si="14"/>
        <v>151600</v>
      </c>
      <c r="O24" s="950">
        <f t="shared" ca="1" si="9"/>
        <v>100</v>
      </c>
      <c r="P24" s="950">
        <f t="shared" ca="1" si="10"/>
        <v>100</v>
      </c>
      <c r="Q24" s="935"/>
      <c r="R24" s="935"/>
      <c r="S24" s="935"/>
      <c r="T24" s="935"/>
      <c r="U24" s="935"/>
      <c r="V24" s="935"/>
      <c r="W24" s="935"/>
      <c r="X24" s="935"/>
      <c r="Y24" s="935"/>
      <c r="Z24" s="935"/>
    </row>
    <row r="25" spans="1:26" ht="18.75" hidden="1">
      <c r="A25" s="951"/>
      <c r="B25" s="952"/>
      <c r="C25" s="952"/>
      <c r="D25" s="952"/>
      <c r="E25" s="953" t="s">
        <v>18</v>
      </c>
      <c r="F25" s="952"/>
      <c r="G25" s="954"/>
      <c r="H25" s="955" t="s">
        <v>12</v>
      </c>
      <c r="I25" s="956"/>
      <c r="J25" s="956"/>
      <c r="K25" s="957"/>
      <c r="L25" s="957">
        <f t="shared" ref="L25:N26" si="15">L48+L60+L73+L95+L126+L139+L156+L188+L172+L268+L284+L305+L322+L335+L352+L396+L409</f>
        <v>0</v>
      </c>
      <c r="M25" s="957">
        <f t="shared" si="15"/>
        <v>0</v>
      </c>
      <c r="N25" s="957">
        <f t="shared" si="15"/>
        <v>0</v>
      </c>
      <c r="O25" s="957">
        <f t="shared" si="9"/>
        <v>0</v>
      </c>
      <c r="P25" s="957">
        <f t="shared" si="10"/>
        <v>0</v>
      </c>
      <c r="Q25" s="943"/>
      <c r="R25" s="943"/>
      <c r="S25" s="943"/>
      <c r="T25" s="943"/>
      <c r="U25" s="943"/>
      <c r="V25" s="943"/>
      <c r="W25" s="943"/>
      <c r="X25" s="943"/>
      <c r="Y25" s="943"/>
      <c r="Z25" s="943"/>
    </row>
    <row r="26" spans="1:26" ht="18.75" hidden="1">
      <c r="A26" s="958"/>
      <c r="B26" s="959"/>
      <c r="C26" s="959"/>
      <c r="D26" s="959"/>
      <c r="E26" s="960" t="s">
        <v>19</v>
      </c>
      <c r="F26" s="959"/>
      <c r="G26" s="961"/>
      <c r="H26" s="962" t="s">
        <v>12</v>
      </c>
      <c r="I26" s="963"/>
      <c r="J26" s="963"/>
      <c r="K26" s="964"/>
      <c r="L26" s="964">
        <f t="shared" ca="1" si="15"/>
        <v>151600</v>
      </c>
      <c r="M26" s="964">
        <f t="shared" ca="1" si="15"/>
        <v>151600</v>
      </c>
      <c r="N26" s="964">
        <f t="shared" ca="1" si="15"/>
        <v>151600</v>
      </c>
      <c r="O26" s="964">
        <f t="shared" ca="1" si="9"/>
        <v>100</v>
      </c>
      <c r="P26" s="964">
        <f t="shared" ca="1" si="10"/>
        <v>100</v>
      </c>
      <c r="Q26" s="943"/>
      <c r="R26" s="943"/>
      <c r="S26" s="943"/>
      <c r="T26" s="943"/>
      <c r="U26" s="943"/>
      <c r="V26" s="943"/>
      <c r="W26" s="943"/>
      <c r="X26" s="943"/>
      <c r="Y26" s="943"/>
      <c r="Z26" s="943"/>
    </row>
    <row r="27" spans="1:26" ht="19.5">
      <c r="A27" s="922" t="s">
        <v>23</v>
      </c>
      <c r="B27" s="910"/>
      <c r="C27" s="910"/>
      <c r="D27" s="910"/>
      <c r="E27" s="910"/>
      <c r="F27" s="910"/>
      <c r="G27" s="911"/>
      <c r="H27" s="923"/>
      <c r="I27" s="924"/>
      <c r="J27" s="924"/>
      <c r="K27" s="925"/>
      <c r="L27" s="925"/>
      <c r="M27" s="925"/>
      <c r="N27" s="925"/>
      <c r="O27" s="925"/>
      <c r="P27" s="925"/>
    </row>
    <row r="28" spans="1:26" ht="19.5">
      <c r="A28" s="926"/>
      <c r="B28" s="927"/>
      <c r="C28" s="928" t="s">
        <v>16</v>
      </c>
      <c r="D28" s="929" t="s">
        <v>17</v>
      </c>
      <c r="E28" s="927"/>
      <c r="F28" s="927"/>
      <c r="G28" s="930"/>
      <c r="H28" s="931" t="s">
        <v>12</v>
      </c>
      <c r="I28" s="932"/>
      <c r="J28" s="932"/>
      <c r="K28" s="933"/>
      <c r="L28" s="934">
        <f t="shared" ref="L28:N28" ca="1" si="16">L29+L30</f>
        <v>1122465</v>
      </c>
      <c r="M28" s="934">
        <f t="shared" ca="1" si="16"/>
        <v>1122465</v>
      </c>
      <c r="N28" s="934">
        <f t="shared" si="16"/>
        <v>400471.06</v>
      </c>
      <c r="O28" s="934">
        <f t="shared" ref="O28:O37" ca="1" si="17">IF(L28&gt;0,N28*100/L28,0)</f>
        <v>35.677821580182901</v>
      </c>
      <c r="P28" s="934">
        <f t="shared" ref="P28:P37" ca="1" si="18">IF(M28&gt;0,N28*100/M28,0)</f>
        <v>35.677821580182901</v>
      </c>
      <c r="Q28" s="935"/>
      <c r="R28" s="935"/>
      <c r="S28" s="935"/>
      <c r="T28" s="935"/>
      <c r="U28" s="935"/>
      <c r="V28" s="935"/>
      <c r="W28" s="935"/>
      <c r="X28" s="935"/>
      <c r="Y28" s="935"/>
      <c r="Z28" s="935"/>
    </row>
    <row r="29" spans="1:26" ht="18.75" hidden="1">
      <c r="A29" s="936"/>
      <c r="B29" s="937"/>
      <c r="C29" s="937"/>
      <c r="D29" s="937"/>
      <c r="E29" s="938" t="s">
        <v>18</v>
      </c>
      <c r="F29" s="937"/>
      <c r="G29" s="939"/>
      <c r="H29" s="940" t="s">
        <v>12</v>
      </c>
      <c r="I29" s="941"/>
      <c r="J29" s="941"/>
      <c r="K29" s="942"/>
      <c r="L29" s="942">
        <f t="shared" ref="L29:N30" si="19">L32+L35</f>
        <v>0</v>
      </c>
      <c r="M29" s="942">
        <f t="shared" si="19"/>
        <v>0</v>
      </c>
      <c r="N29" s="942">
        <f t="shared" si="19"/>
        <v>0</v>
      </c>
      <c r="O29" s="942">
        <f t="shared" si="17"/>
        <v>0</v>
      </c>
      <c r="P29" s="942">
        <f t="shared" si="18"/>
        <v>0</v>
      </c>
      <c r="Q29" s="943"/>
      <c r="R29" s="943"/>
      <c r="S29" s="943"/>
      <c r="T29" s="943"/>
      <c r="U29" s="943"/>
      <c r="V29" s="943"/>
      <c r="W29" s="943"/>
      <c r="X29" s="943"/>
      <c r="Y29" s="943"/>
      <c r="Z29" s="943"/>
    </row>
    <row r="30" spans="1:26" ht="18.75" hidden="1">
      <c r="A30" s="936"/>
      <c r="B30" s="937"/>
      <c r="C30" s="937"/>
      <c r="D30" s="937"/>
      <c r="E30" s="938" t="s">
        <v>19</v>
      </c>
      <c r="F30" s="937"/>
      <c r="G30" s="939"/>
      <c r="H30" s="940" t="s">
        <v>12</v>
      </c>
      <c r="I30" s="941"/>
      <c r="J30" s="941"/>
      <c r="K30" s="942"/>
      <c r="L30" s="942">
        <f t="shared" ca="1" si="19"/>
        <v>1122465</v>
      </c>
      <c r="M30" s="942">
        <f t="shared" ca="1" si="19"/>
        <v>1122465</v>
      </c>
      <c r="N30" s="942">
        <f t="shared" si="19"/>
        <v>400471.06</v>
      </c>
      <c r="O30" s="942">
        <f t="shared" ca="1" si="17"/>
        <v>35.677821580182901</v>
      </c>
      <c r="P30" s="942">
        <f t="shared" ca="1" si="18"/>
        <v>35.677821580182901</v>
      </c>
      <c r="Q30" s="943"/>
      <c r="R30" s="943"/>
      <c r="S30" s="943"/>
      <c r="T30" s="943"/>
      <c r="U30" s="943"/>
      <c r="V30" s="943"/>
      <c r="W30" s="943"/>
      <c r="X30" s="943"/>
      <c r="Y30" s="943"/>
      <c r="Z30" s="943"/>
    </row>
    <row r="31" spans="1:26" ht="18.75">
      <c r="A31" s="944"/>
      <c r="B31" s="945"/>
      <c r="C31" s="945"/>
      <c r="D31" s="946" t="s">
        <v>20</v>
      </c>
      <c r="E31" s="945"/>
      <c r="F31" s="945"/>
      <c r="G31" s="947"/>
      <c r="H31" s="948" t="s">
        <v>12</v>
      </c>
      <c r="I31" s="949"/>
      <c r="J31" s="949"/>
      <c r="K31" s="950"/>
      <c r="L31" s="950">
        <f t="shared" ref="L31:N31" ca="1" si="20">L32+L33</f>
        <v>1122465</v>
      </c>
      <c r="M31" s="950">
        <f t="shared" ca="1" si="20"/>
        <v>1122465</v>
      </c>
      <c r="N31" s="950">
        <f t="shared" si="20"/>
        <v>400471.06</v>
      </c>
      <c r="O31" s="950">
        <f t="shared" ca="1" si="17"/>
        <v>35.677821580182901</v>
      </c>
      <c r="P31" s="950">
        <f t="shared" ca="1" si="18"/>
        <v>35.677821580182901</v>
      </c>
      <c r="Q31" s="935"/>
      <c r="R31" s="935"/>
      <c r="S31" s="935"/>
      <c r="T31" s="935"/>
      <c r="U31" s="935"/>
      <c r="V31" s="935"/>
      <c r="W31" s="935"/>
      <c r="X31" s="935"/>
      <c r="Y31" s="935"/>
      <c r="Z31" s="935"/>
    </row>
    <row r="32" spans="1:26" ht="18.75" hidden="1">
      <c r="A32" s="951"/>
      <c r="B32" s="952"/>
      <c r="C32" s="952"/>
      <c r="D32" s="952"/>
      <c r="E32" s="953" t="s">
        <v>18</v>
      </c>
      <c r="F32" s="952"/>
      <c r="G32" s="954"/>
      <c r="H32" s="955" t="s">
        <v>12</v>
      </c>
      <c r="I32" s="956"/>
      <c r="J32" s="956"/>
      <c r="K32" s="957"/>
      <c r="L32" s="957">
        <f t="shared" ref="L32:N33" si="21">L423+L448+L471+L506+L527+L548+L633+L659+L689+L741+L758+L774+L790+L809</f>
        <v>0</v>
      </c>
      <c r="M32" s="957">
        <f t="shared" si="21"/>
        <v>0</v>
      </c>
      <c r="N32" s="957">
        <f t="shared" si="21"/>
        <v>0</v>
      </c>
      <c r="O32" s="957">
        <f t="shared" si="17"/>
        <v>0</v>
      </c>
      <c r="P32" s="957">
        <f t="shared" si="18"/>
        <v>0</v>
      </c>
      <c r="Q32" s="943"/>
      <c r="R32" s="943"/>
      <c r="S32" s="943"/>
      <c r="T32" s="943"/>
      <c r="U32" s="943"/>
      <c r="V32" s="943"/>
      <c r="W32" s="943"/>
      <c r="X32" s="943"/>
      <c r="Y32" s="943"/>
      <c r="Z32" s="943"/>
    </row>
    <row r="33" spans="1:26" ht="18.75" hidden="1">
      <c r="A33" s="951"/>
      <c r="B33" s="952"/>
      <c r="C33" s="952"/>
      <c r="D33" s="952"/>
      <c r="E33" s="953" t="s">
        <v>19</v>
      </c>
      <c r="F33" s="952"/>
      <c r="G33" s="954"/>
      <c r="H33" s="955" t="s">
        <v>12</v>
      </c>
      <c r="I33" s="956"/>
      <c r="J33" s="956"/>
      <c r="K33" s="957"/>
      <c r="L33" s="957">
        <f t="shared" ca="1" si="21"/>
        <v>1122465</v>
      </c>
      <c r="M33" s="957">
        <f t="shared" ca="1" si="21"/>
        <v>1122465</v>
      </c>
      <c r="N33" s="957">
        <f t="shared" si="21"/>
        <v>400471.06</v>
      </c>
      <c r="O33" s="957">
        <f t="shared" ca="1" si="17"/>
        <v>35.677821580182901</v>
      </c>
      <c r="P33" s="957">
        <f t="shared" ca="1" si="18"/>
        <v>35.677821580182901</v>
      </c>
      <c r="Q33" s="943"/>
      <c r="R33" s="943"/>
      <c r="S33" s="943"/>
      <c r="T33" s="943"/>
      <c r="U33" s="943"/>
      <c r="V33" s="943"/>
      <c r="W33" s="943"/>
      <c r="X33" s="943"/>
      <c r="Y33" s="943"/>
      <c r="Z33" s="943"/>
    </row>
    <row r="34" spans="1:26" ht="18.75">
      <c r="A34" s="944"/>
      <c r="B34" s="945"/>
      <c r="C34" s="945"/>
      <c r="D34" s="946" t="s">
        <v>21</v>
      </c>
      <c r="E34" s="945"/>
      <c r="F34" s="945"/>
      <c r="G34" s="947"/>
      <c r="H34" s="948" t="s">
        <v>12</v>
      </c>
      <c r="I34" s="949"/>
      <c r="J34" s="949"/>
      <c r="K34" s="950"/>
      <c r="L34" s="950">
        <f t="shared" ref="L34:N34" ca="1" si="22">L35+L36</f>
        <v>0</v>
      </c>
      <c r="M34" s="950">
        <f t="shared" si="22"/>
        <v>0</v>
      </c>
      <c r="N34" s="950">
        <f t="shared" si="22"/>
        <v>0</v>
      </c>
      <c r="O34" s="950">
        <f t="shared" ca="1" si="17"/>
        <v>0</v>
      </c>
      <c r="P34" s="950">
        <f t="shared" si="18"/>
        <v>0</v>
      </c>
      <c r="Q34" s="935"/>
      <c r="R34" s="935"/>
      <c r="S34" s="935"/>
      <c r="T34" s="935"/>
      <c r="U34" s="935"/>
      <c r="V34" s="935"/>
      <c r="W34" s="935"/>
      <c r="X34" s="935"/>
      <c r="Y34" s="935"/>
      <c r="Z34" s="935"/>
    </row>
    <row r="35" spans="1:26" ht="18.75" hidden="1">
      <c r="A35" s="951"/>
      <c r="B35" s="952"/>
      <c r="C35" s="952"/>
      <c r="D35" s="952"/>
      <c r="E35" s="953" t="s">
        <v>18</v>
      </c>
      <c r="F35" s="952"/>
      <c r="G35" s="954"/>
      <c r="H35" s="955" t="s">
        <v>12</v>
      </c>
      <c r="I35" s="956"/>
      <c r="J35" s="956"/>
      <c r="K35" s="957"/>
      <c r="L35" s="957">
        <f t="shared" ref="L35:N36" si="23">L430+L455+L478+L513+L534+L556+L640+L666+L696+L748+L765+L781+L797+L816</f>
        <v>0</v>
      </c>
      <c r="M35" s="957">
        <f t="shared" si="23"/>
        <v>0</v>
      </c>
      <c r="N35" s="957">
        <f t="shared" si="23"/>
        <v>0</v>
      </c>
      <c r="O35" s="957">
        <f t="shared" si="17"/>
        <v>0</v>
      </c>
      <c r="P35" s="957">
        <f t="shared" si="18"/>
        <v>0</v>
      </c>
      <c r="Q35" s="943"/>
      <c r="R35" s="943"/>
      <c r="S35" s="943"/>
      <c r="T35" s="943"/>
      <c r="U35" s="943"/>
      <c r="V35" s="943"/>
      <c r="W35" s="943"/>
      <c r="X35" s="943"/>
      <c r="Y35" s="943"/>
      <c r="Z35" s="943"/>
    </row>
    <row r="36" spans="1:26" ht="18.75" hidden="1">
      <c r="A36" s="958"/>
      <c r="B36" s="959"/>
      <c r="C36" s="959"/>
      <c r="D36" s="959"/>
      <c r="E36" s="960" t="s">
        <v>19</v>
      </c>
      <c r="F36" s="959"/>
      <c r="G36" s="961"/>
      <c r="H36" s="962" t="s">
        <v>12</v>
      </c>
      <c r="I36" s="963"/>
      <c r="J36" s="963"/>
      <c r="K36" s="964"/>
      <c r="L36" s="964">
        <f t="shared" ca="1" si="23"/>
        <v>0</v>
      </c>
      <c r="M36" s="964">
        <f t="shared" si="23"/>
        <v>0</v>
      </c>
      <c r="N36" s="964">
        <f t="shared" si="23"/>
        <v>0</v>
      </c>
      <c r="O36" s="964">
        <f t="shared" ca="1" si="17"/>
        <v>0</v>
      </c>
      <c r="P36" s="964">
        <f t="shared" si="18"/>
        <v>0</v>
      </c>
      <c r="Q36" s="943"/>
      <c r="R36" s="943"/>
      <c r="S36" s="943"/>
      <c r="T36" s="943"/>
      <c r="U36" s="943"/>
      <c r="V36" s="943"/>
      <c r="W36" s="943"/>
      <c r="X36" s="943"/>
      <c r="Y36" s="943"/>
      <c r="Z36" s="943"/>
    </row>
    <row r="37" spans="1:26" ht="19.5">
      <c r="A37" s="965" t="s">
        <v>24</v>
      </c>
      <c r="B37" s="966"/>
      <c r="C37" s="966"/>
      <c r="D37" s="966"/>
      <c r="E37" s="966"/>
      <c r="F37" s="966"/>
      <c r="G37" s="967"/>
      <c r="H37" s="968"/>
      <c r="I37" s="969"/>
      <c r="J37" s="969"/>
      <c r="K37" s="970"/>
      <c r="L37" s="971">
        <f t="shared" ref="L37:N37" ca="1" si="24">L41+L53+L66+L88+L119+L132+L149+L165+L181+L261+L277+L298+L315+L328+L345+L389+L402</f>
        <v>2083810</v>
      </c>
      <c r="M37" s="971">
        <f t="shared" ca="1" si="24"/>
        <v>1720196</v>
      </c>
      <c r="N37" s="971">
        <f t="shared" ca="1" si="24"/>
        <v>1341105.1299999999</v>
      </c>
      <c r="O37" s="971">
        <f t="shared" ca="1" si="17"/>
        <v>64.358321056142344</v>
      </c>
      <c r="P37" s="971">
        <f t="shared" ca="1" si="18"/>
        <v>77.962344407265206</v>
      </c>
    </row>
    <row r="38" spans="1:26" ht="19.5">
      <c r="A38" s="972" t="s">
        <v>25</v>
      </c>
      <c r="B38" s="973"/>
      <c r="C38" s="973"/>
      <c r="D38" s="973"/>
      <c r="E38" s="973"/>
      <c r="F38" s="973"/>
      <c r="G38" s="974"/>
      <c r="H38" s="975"/>
      <c r="I38" s="976"/>
      <c r="J38" s="976"/>
      <c r="K38" s="977"/>
      <c r="L38" s="977"/>
      <c r="M38" s="977"/>
      <c r="N38" s="977"/>
      <c r="O38" s="977"/>
      <c r="P38" s="977"/>
    </row>
    <row r="39" spans="1:26" ht="19.5">
      <c r="A39" s="978"/>
      <c r="B39" s="979" t="s">
        <v>26</v>
      </c>
      <c r="C39" s="980"/>
      <c r="D39" s="980"/>
      <c r="E39" s="980"/>
      <c r="F39" s="980"/>
      <c r="G39" s="981"/>
      <c r="H39" s="982"/>
      <c r="I39" s="983"/>
      <c r="J39" s="983"/>
      <c r="K39" s="984"/>
      <c r="L39" s="984"/>
      <c r="M39" s="984"/>
      <c r="N39" s="984"/>
      <c r="O39" s="984"/>
      <c r="P39" s="984"/>
    </row>
    <row r="40" spans="1:26" ht="19.5">
      <c r="A40" s="985"/>
      <c r="B40" s="986" t="s">
        <v>27</v>
      </c>
      <c r="C40" s="987"/>
      <c r="D40" s="987"/>
      <c r="E40" s="987"/>
      <c r="F40" s="987"/>
      <c r="G40" s="988"/>
      <c r="H40" s="989"/>
      <c r="I40" s="990"/>
      <c r="J40" s="990"/>
      <c r="K40" s="991"/>
      <c r="L40" s="991"/>
      <c r="M40" s="991"/>
      <c r="N40" s="991"/>
      <c r="O40" s="991"/>
      <c r="P40" s="991"/>
    </row>
    <row r="41" spans="1:26" ht="19.5">
      <c r="A41" s="992"/>
      <c r="B41" s="993"/>
      <c r="C41" s="994" t="s">
        <v>16</v>
      </c>
      <c r="D41" s="995" t="s">
        <v>17</v>
      </c>
      <c r="E41" s="993"/>
      <c r="F41" s="993"/>
      <c r="G41" s="996"/>
      <c r="H41" s="997" t="s">
        <v>12</v>
      </c>
      <c r="I41" s="998"/>
      <c r="J41" s="998"/>
      <c r="K41" s="999"/>
      <c r="L41" s="1000">
        <f t="shared" ref="L41:N41" ca="1" si="25">L42+L43</f>
        <v>284900</v>
      </c>
      <c r="M41" s="1000">
        <f t="shared" ca="1" si="25"/>
        <v>294851</v>
      </c>
      <c r="N41" s="1000">
        <f t="shared" ca="1" si="25"/>
        <v>199213</v>
      </c>
      <c r="O41" s="1000">
        <f t="shared" ref="O41:O49" ca="1" si="26">IF(L41&gt;0,N41*100/L41,0)</f>
        <v>69.923832923832919</v>
      </c>
      <c r="P41" s="1000">
        <f t="shared" ref="P41:P49" ca="1" si="27">IF(M41&gt;0,N41*100/M41,0)</f>
        <v>67.563956032029736</v>
      </c>
      <c r="Q41" s="935"/>
      <c r="R41" s="935"/>
      <c r="S41" s="935"/>
      <c r="T41" s="935"/>
      <c r="U41" s="935"/>
      <c r="V41" s="935"/>
      <c r="W41" s="935"/>
      <c r="X41" s="935"/>
      <c r="Y41" s="935"/>
      <c r="Z41" s="935"/>
    </row>
    <row r="42" spans="1:26" ht="18.75" hidden="1">
      <c r="A42" s="1001"/>
      <c r="B42" s="1002"/>
      <c r="C42" s="1002"/>
      <c r="D42" s="1002"/>
      <c r="E42" s="1003" t="s">
        <v>18</v>
      </c>
      <c r="F42" s="1002"/>
      <c r="G42" s="1004"/>
      <c r="H42" s="1005" t="s">
        <v>12</v>
      </c>
      <c r="I42" s="1006"/>
      <c r="J42" s="1006"/>
      <c r="K42" s="1007"/>
      <c r="L42" s="1007">
        <f t="shared" ref="L42:N43" si="28">L45+L48</f>
        <v>0</v>
      </c>
      <c r="M42" s="1007">
        <f t="shared" si="28"/>
        <v>0</v>
      </c>
      <c r="N42" s="1007">
        <f t="shared" si="28"/>
        <v>0</v>
      </c>
      <c r="O42" s="1007">
        <f t="shared" si="26"/>
        <v>0</v>
      </c>
      <c r="P42" s="1007">
        <f t="shared" si="27"/>
        <v>0</v>
      </c>
      <c r="Q42" s="943"/>
      <c r="R42" s="943"/>
      <c r="S42" s="943"/>
      <c r="T42" s="943"/>
      <c r="U42" s="943"/>
      <c r="V42" s="943"/>
      <c r="W42" s="943"/>
      <c r="X42" s="943"/>
      <c r="Y42" s="943"/>
      <c r="Z42" s="943"/>
    </row>
    <row r="43" spans="1:26" ht="18.75" hidden="1">
      <c r="A43" s="1001"/>
      <c r="B43" s="1002"/>
      <c r="C43" s="1002"/>
      <c r="D43" s="1002"/>
      <c r="E43" s="1003" t="s">
        <v>19</v>
      </c>
      <c r="F43" s="1002"/>
      <c r="G43" s="1004"/>
      <c r="H43" s="1005" t="s">
        <v>12</v>
      </c>
      <c r="I43" s="1006"/>
      <c r="J43" s="1006"/>
      <c r="K43" s="1007"/>
      <c r="L43" s="1007">
        <f t="shared" ca="1" si="28"/>
        <v>284900</v>
      </c>
      <c r="M43" s="1007">
        <f t="shared" ca="1" si="28"/>
        <v>294851</v>
      </c>
      <c r="N43" s="1007">
        <f t="shared" ca="1" si="28"/>
        <v>199213</v>
      </c>
      <c r="O43" s="1007">
        <f t="shared" ca="1" si="26"/>
        <v>69.923832923832919</v>
      </c>
      <c r="P43" s="1007">
        <f t="shared" ca="1" si="27"/>
        <v>67.563956032029736</v>
      </c>
      <c r="Q43" s="943"/>
      <c r="R43" s="943"/>
      <c r="S43" s="943"/>
      <c r="T43" s="943"/>
      <c r="U43" s="943"/>
      <c r="V43" s="943"/>
      <c r="W43" s="943"/>
      <c r="X43" s="943"/>
      <c r="Y43" s="943"/>
      <c r="Z43" s="943"/>
    </row>
    <row r="44" spans="1:26" ht="18.75">
      <c r="A44" s="944"/>
      <c r="B44" s="945"/>
      <c r="C44" s="945"/>
      <c r="D44" s="946" t="s">
        <v>20</v>
      </c>
      <c r="E44" s="945"/>
      <c r="F44" s="945"/>
      <c r="G44" s="947"/>
      <c r="H44" s="948" t="s">
        <v>12</v>
      </c>
      <c r="I44" s="949"/>
      <c r="J44" s="949"/>
      <c r="K44" s="950"/>
      <c r="L44" s="950">
        <f t="shared" ref="L44:N44" ca="1" si="29">L45+L46</f>
        <v>284900</v>
      </c>
      <c r="M44" s="950">
        <f t="shared" ca="1" si="29"/>
        <v>294851</v>
      </c>
      <c r="N44" s="950">
        <f t="shared" ca="1" si="29"/>
        <v>199213</v>
      </c>
      <c r="O44" s="950">
        <f t="shared" ca="1" si="26"/>
        <v>69.923832923832919</v>
      </c>
      <c r="P44" s="950">
        <f t="shared" ca="1" si="27"/>
        <v>67.563956032029736</v>
      </c>
      <c r="Q44" s="935"/>
      <c r="R44" s="935"/>
      <c r="S44" s="935"/>
      <c r="T44" s="935"/>
      <c r="U44" s="935"/>
      <c r="V44" s="935"/>
      <c r="W44" s="935"/>
      <c r="X44" s="935"/>
      <c r="Y44" s="935"/>
      <c r="Z44" s="935"/>
    </row>
    <row r="45" spans="1:26" ht="18.75" hidden="1">
      <c r="A45" s="951"/>
      <c r="B45" s="952"/>
      <c r="C45" s="952"/>
      <c r="D45" s="952"/>
      <c r="E45" s="953" t="s">
        <v>18</v>
      </c>
      <c r="F45" s="952"/>
      <c r="G45" s="954"/>
      <c r="H45" s="955" t="s">
        <v>12</v>
      </c>
      <c r="I45" s="956"/>
      <c r="J45" s="956"/>
      <c r="K45" s="957"/>
      <c r="L45" s="957">
        <v>0</v>
      </c>
      <c r="M45" s="957">
        <v>0</v>
      </c>
      <c r="N45" s="957">
        <v>0</v>
      </c>
      <c r="O45" s="957">
        <f t="shared" si="26"/>
        <v>0</v>
      </c>
      <c r="P45" s="957">
        <f t="shared" si="27"/>
        <v>0</v>
      </c>
      <c r="Q45" s="943"/>
      <c r="R45" s="943"/>
      <c r="S45" s="943"/>
      <c r="T45" s="943"/>
      <c r="U45" s="943"/>
      <c r="V45" s="943"/>
      <c r="W45" s="943"/>
      <c r="X45" s="943"/>
      <c r="Y45" s="943"/>
      <c r="Z45" s="943"/>
    </row>
    <row r="46" spans="1:26" ht="18.75" hidden="1">
      <c r="A46" s="951"/>
      <c r="B46" s="952"/>
      <c r="C46" s="952"/>
      <c r="D46" s="952"/>
      <c r="E46" s="953" t="s">
        <v>19</v>
      </c>
      <c r="F46" s="952"/>
      <c r="G46" s="954"/>
      <c r="H46" s="955" t="s">
        <v>12</v>
      </c>
      <c r="I46" s="956"/>
      <c r="J46" s="956"/>
      <c r="K46" s="957"/>
      <c r="L46" s="957">
        <f ca="1">IFERROR(__xludf.DUMMYFUNCTION("IMPORTRANGE(""https://docs.google.com/spreadsheets/d/1MeEWN-I1oV_STSDYn1IFDPWt_1FKiwhDph83XaGc0o0/edit?usp=sharing"",""งบพรบ!M62"")"),284900)</f>
        <v>284900</v>
      </c>
      <c r="M46" s="957">
        <f ca="1">IFERROR(__xludf.DUMMYFUNCTION("IMPORTRANGE(""https://docs.google.com/spreadsheets/d/1MeEWN-I1oV_STSDYn1IFDPWt_1FKiwhDph83XaGc0o0/edit?usp=sharing"",""งบพรบ!R62"")"),294851)</f>
        <v>294851</v>
      </c>
      <c r="N46" s="957">
        <f ca="1">IFERROR(__xludf.DUMMYFUNCTION("IMPORTRANGE(""https://docs.google.com/spreadsheets/d/1MeEWN-I1oV_STSDYn1IFDPWt_1FKiwhDph83XaGc0o0/edit?usp=sharing"",""งบพรบ!T62"")"),199213)</f>
        <v>199213</v>
      </c>
      <c r="O46" s="957">
        <f t="shared" ca="1" si="26"/>
        <v>69.923832923832919</v>
      </c>
      <c r="P46" s="957">
        <f t="shared" ca="1" si="27"/>
        <v>67.563956032029736</v>
      </c>
      <c r="Q46" s="943"/>
      <c r="R46" s="943"/>
      <c r="S46" s="943"/>
      <c r="T46" s="943"/>
      <c r="U46" s="943"/>
      <c r="V46" s="943"/>
      <c r="W46" s="943"/>
      <c r="X46" s="943"/>
      <c r="Y46" s="943"/>
      <c r="Z46" s="943"/>
    </row>
    <row r="47" spans="1:26" ht="18.75">
      <c r="A47" s="944"/>
      <c r="B47" s="945"/>
      <c r="C47" s="945"/>
      <c r="D47" s="946" t="s">
        <v>21</v>
      </c>
      <c r="E47" s="945"/>
      <c r="F47" s="945"/>
      <c r="G47" s="947"/>
      <c r="H47" s="948" t="s">
        <v>12</v>
      </c>
      <c r="I47" s="949"/>
      <c r="J47" s="949"/>
      <c r="K47" s="950"/>
      <c r="L47" s="950">
        <f t="shared" ref="L47:N47" ca="1" si="30">L48+L49</f>
        <v>0</v>
      </c>
      <c r="M47" s="950">
        <f t="shared" ca="1" si="30"/>
        <v>0</v>
      </c>
      <c r="N47" s="950">
        <f t="shared" ca="1" si="30"/>
        <v>0</v>
      </c>
      <c r="O47" s="950">
        <f t="shared" ca="1" si="26"/>
        <v>0</v>
      </c>
      <c r="P47" s="950">
        <f t="shared" ca="1" si="27"/>
        <v>0</v>
      </c>
      <c r="Q47" s="935"/>
      <c r="R47" s="935"/>
      <c r="S47" s="935"/>
      <c r="T47" s="935"/>
      <c r="U47" s="935"/>
      <c r="V47" s="935"/>
      <c r="W47" s="935"/>
      <c r="X47" s="935"/>
      <c r="Y47" s="935"/>
      <c r="Z47" s="935"/>
    </row>
    <row r="48" spans="1:26" ht="18.75" hidden="1">
      <c r="A48" s="951"/>
      <c r="B48" s="952"/>
      <c r="C48" s="952"/>
      <c r="D48" s="952"/>
      <c r="E48" s="953" t="s">
        <v>18</v>
      </c>
      <c r="F48" s="952"/>
      <c r="G48" s="954"/>
      <c r="H48" s="955" t="s">
        <v>12</v>
      </c>
      <c r="I48" s="956"/>
      <c r="J48" s="956"/>
      <c r="K48" s="957"/>
      <c r="L48" s="957">
        <v>0</v>
      </c>
      <c r="M48" s="957">
        <v>0</v>
      </c>
      <c r="N48" s="957">
        <v>0</v>
      </c>
      <c r="O48" s="957">
        <f t="shared" si="26"/>
        <v>0</v>
      </c>
      <c r="P48" s="957">
        <f t="shared" si="27"/>
        <v>0</v>
      </c>
      <c r="Q48" s="943"/>
      <c r="R48" s="943"/>
      <c r="S48" s="943"/>
      <c r="T48" s="943"/>
      <c r="U48" s="943"/>
      <c r="V48" s="943"/>
      <c r="W48" s="943"/>
      <c r="X48" s="943"/>
      <c r="Y48" s="943"/>
      <c r="Z48" s="943"/>
    </row>
    <row r="49" spans="1:26" ht="18.75" hidden="1">
      <c r="A49" s="958"/>
      <c r="B49" s="959"/>
      <c r="C49" s="959"/>
      <c r="D49" s="959"/>
      <c r="E49" s="960" t="s">
        <v>19</v>
      </c>
      <c r="F49" s="959"/>
      <c r="G49" s="961"/>
      <c r="H49" s="962" t="s">
        <v>12</v>
      </c>
      <c r="I49" s="963"/>
      <c r="J49" s="963"/>
      <c r="K49" s="964"/>
      <c r="L49" s="964">
        <f ca="1">IFERROR(__xludf.DUMMYFUNCTION("IMPORTRANGE(""https://docs.google.com/spreadsheets/d/1MeEWN-I1oV_STSDYn1IFDPWt_1FKiwhDph83XaGc0o0/edit?usp=sharing"",""งบพรบ!P62"")"),0)</f>
        <v>0</v>
      </c>
      <c r="M49" s="964">
        <f ca="1">IFERROR(__xludf.DUMMYFUNCTION("IMPORTRANGE(""https://docs.google.com/spreadsheets/d/1MeEWN-I1oV_STSDYn1IFDPWt_1FKiwhDph83XaGc0o0/edit?usp=sharing"",""งบพรบ!S62"")"),0)</f>
        <v>0</v>
      </c>
      <c r="N49" s="964">
        <f ca="1">IFERROR(__xludf.DUMMYFUNCTION("IMPORTRANGE(""https://docs.google.com/spreadsheets/d/1MeEWN-I1oV_STSDYn1IFDPWt_1FKiwhDph83XaGc0o0/edit?usp=sharing"",""งบพรบ!U62"")"),0)</f>
        <v>0</v>
      </c>
      <c r="O49" s="964">
        <f t="shared" ca="1" si="26"/>
        <v>0</v>
      </c>
      <c r="P49" s="964">
        <f t="shared" ca="1" si="27"/>
        <v>0</v>
      </c>
      <c r="Q49" s="943"/>
      <c r="R49" s="943"/>
      <c r="S49" s="943"/>
      <c r="T49" s="943"/>
      <c r="U49" s="943"/>
      <c r="V49" s="943"/>
      <c r="W49" s="943"/>
      <c r="X49" s="943"/>
      <c r="Y49" s="943"/>
      <c r="Z49" s="943"/>
    </row>
    <row r="50" spans="1:26" ht="19.5">
      <c r="A50" s="1008" t="s">
        <v>28</v>
      </c>
      <c r="B50" s="910"/>
      <c r="C50" s="910"/>
      <c r="D50" s="910"/>
      <c r="E50" s="910"/>
      <c r="F50" s="910"/>
      <c r="G50" s="911"/>
      <c r="H50" s="1009"/>
      <c r="I50" s="1010"/>
      <c r="J50" s="1010"/>
      <c r="K50" s="1011"/>
      <c r="L50" s="1011"/>
      <c r="M50" s="1011"/>
      <c r="N50" s="1011"/>
      <c r="O50" s="1011"/>
      <c r="P50" s="1011"/>
    </row>
    <row r="51" spans="1:26" ht="19.5">
      <c r="A51" s="1012"/>
      <c r="B51" s="1013" t="s">
        <v>29</v>
      </c>
      <c r="C51" s="987"/>
      <c r="D51" s="987"/>
      <c r="E51" s="987"/>
      <c r="F51" s="987"/>
      <c r="G51" s="988"/>
      <c r="H51" s="1014"/>
      <c r="I51" s="1015"/>
      <c r="J51" s="1015"/>
      <c r="K51" s="1016"/>
      <c r="L51" s="1016"/>
      <c r="M51" s="1016"/>
      <c r="N51" s="1016"/>
      <c r="O51" s="1016"/>
      <c r="P51" s="1016"/>
    </row>
    <row r="52" spans="1:26" ht="19.5">
      <c r="A52" s="1017"/>
      <c r="B52" s="1018" t="s">
        <v>30</v>
      </c>
      <c r="C52" s="1019"/>
      <c r="D52" s="1019"/>
      <c r="E52" s="1019"/>
      <c r="F52" s="1019"/>
      <c r="G52" s="1020"/>
      <c r="H52" s="1021"/>
      <c r="I52" s="1022"/>
      <c r="J52" s="1022"/>
      <c r="K52" s="1023"/>
      <c r="L52" s="1023"/>
      <c r="M52" s="1023"/>
      <c r="N52" s="1023"/>
      <c r="O52" s="1023"/>
      <c r="P52" s="1023"/>
    </row>
    <row r="53" spans="1:26" ht="19.5">
      <c r="A53" s="1024"/>
      <c r="B53" s="1025"/>
      <c r="C53" s="1026" t="s">
        <v>16</v>
      </c>
      <c r="D53" s="1027" t="s">
        <v>17</v>
      </c>
      <c r="E53" s="1025"/>
      <c r="F53" s="1025"/>
      <c r="G53" s="1028"/>
      <c r="H53" s="1029" t="s">
        <v>12</v>
      </c>
      <c r="I53" s="1030"/>
      <c r="J53" s="1030"/>
      <c r="K53" s="1031"/>
      <c r="L53" s="1032">
        <f t="shared" ref="L53:N53" ca="1" si="31">L54+L55</f>
        <v>577900</v>
      </c>
      <c r="M53" s="1032">
        <f t="shared" ca="1" si="31"/>
        <v>433425</v>
      </c>
      <c r="N53" s="1032">
        <f t="shared" ca="1" si="31"/>
        <v>427543.1</v>
      </c>
      <c r="O53" s="1032">
        <f t="shared" ref="O53:O61" ca="1" si="32">IF(L53&gt;0,N53*100/L53,0)</f>
        <v>73.982194151237238</v>
      </c>
      <c r="P53" s="1032">
        <f t="shared" ref="P53:P61" ca="1" si="33">IF(M53&gt;0,N53*100/M53,0)</f>
        <v>98.642925534982979</v>
      </c>
      <c r="Q53" s="935"/>
      <c r="R53" s="935"/>
      <c r="S53" s="935"/>
      <c r="T53" s="935"/>
      <c r="U53" s="935"/>
      <c r="V53" s="935"/>
      <c r="W53" s="935"/>
      <c r="X53" s="935"/>
      <c r="Y53" s="935"/>
      <c r="Z53" s="935"/>
    </row>
    <row r="54" spans="1:26" ht="18.75" hidden="1">
      <c r="A54" s="1033"/>
      <c r="B54" s="1034"/>
      <c r="C54" s="1034"/>
      <c r="D54" s="1034"/>
      <c r="E54" s="1035" t="s">
        <v>18</v>
      </c>
      <c r="F54" s="1034"/>
      <c r="G54" s="1036"/>
      <c r="H54" s="1037" t="s">
        <v>12</v>
      </c>
      <c r="I54" s="1038"/>
      <c r="J54" s="1038"/>
      <c r="K54" s="1039"/>
      <c r="L54" s="1039">
        <f t="shared" ref="L54:N55" si="34">L57+L60</f>
        <v>0</v>
      </c>
      <c r="M54" s="1039">
        <f t="shared" si="34"/>
        <v>0</v>
      </c>
      <c r="N54" s="1039">
        <f t="shared" si="34"/>
        <v>0</v>
      </c>
      <c r="O54" s="1039">
        <f t="shared" si="32"/>
        <v>0</v>
      </c>
      <c r="P54" s="1039">
        <f t="shared" si="33"/>
        <v>0</v>
      </c>
      <c r="Q54" s="943"/>
      <c r="R54" s="943"/>
      <c r="S54" s="943"/>
      <c r="T54" s="943"/>
      <c r="U54" s="943"/>
      <c r="V54" s="943"/>
      <c r="W54" s="943"/>
      <c r="X54" s="943"/>
      <c r="Y54" s="943"/>
      <c r="Z54" s="943"/>
    </row>
    <row r="55" spans="1:26" ht="18.75" hidden="1">
      <c r="A55" s="1033"/>
      <c r="B55" s="1034"/>
      <c r="C55" s="1034"/>
      <c r="D55" s="1034"/>
      <c r="E55" s="1035" t="s">
        <v>19</v>
      </c>
      <c r="F55" s="1034"/>
      <c r="G55" s="1036"/>
      <c r="H55" s="1037" t="s">
        <v>12</v>
      </c>
      <c r="I55" s="1038"/>
      <c r="J55" s="1038"/>
      <c r="K55" s="1039"/>
      <c r="L55" s="1039">
        <f t="shared" ca="1" si="34"/>
        <v>577900</v>
      </c>
      <c r="M55" s="1039">
        <f t="shared" ca="1" si="34"/>
        <v>433425</v>
      </c>
      <c r="N55" s="1039">
        <f t="shared" ca="1" si="34"/>
        <v>427543.1</v>
      </c>
      <c r="O55" s="1039">
        <f t="shared" ca="1" si="32"/>
        <v>73.982194151237238</v>
      </c>
      <c r="P55" s="1039">
        <f t="shared" ca="1" si="33"/>
        <v>98.642925534982979</v>
      </c>
      <c r="Q55" s="943"/>
      <c r="R55" s="943"/>
      <c r="S55" s="943"/>
      <c r="T55" s="943"/>
      <c r="U55" s="943"/>
      <c r="V55" s="943"/>
      <c r="W55" s="943"/>
      <c r="X55" s="943"/>
      <c r="Y55" s="943"/>
      <c r="Z55" s="943"/>
    </row>
    <row r="56" spans="1:26" ht="18.75">
      <c r="A56" s="944"/>
      <c r="B56" s="945"/>
      <c r="C56" s="945"/>
      <c r="D56" s="946" t="s">
        <v>20</v>
      </c>
      <c r="E56" s="945"/>
      <c r="F56" s="945"/>
      <c r="G56" s="947"/>
      <c r="H56" s="948" t="s">
        <v>12</v>
      </c>
      <c r="I56" s="949"/>
      <c r="J56" s="949"/>
      <c r="K56" s="950"/>
      <c r="L56" s="950">
        <f t="shared" ref="L56:N56" ca="1" si="35">L57+L58</f>
        <v>577900</v>
      </c>
      <c r="M56" s="950">
        <f t="shared" ca="1" si="35"/>
        <v>433425</v>
      </c>
      <c r="N56" s="950">
        <f t="shared" ca="1" si="35"/>
        <v>427543.1</v>
      </c>
      <c r="O56" s="950">
        <f t="shared" ca="1" si="32"/>
        <v>73.982194151237238</v>
      </c>
      <c r="P56" s="950">
        <f t="shared" ca="1" si="33"/>
        <v>98.642925534982979</v>
      </c>
      <c r="Q56" s="935"/>
      <c r="R56" s="935"/>
      <c r="S56" s="935"/>
      <c r="T56" s="935"/>
      <c r="U56" s="935"/>
      <c r="V56" s="935"/>
      <c r="W56" s="935"/>
      <c r="X56" s="935"/>
      <c r="Y56" s="935"/>
      <c r="Z56" s="935"/>
    </row>
    <row r="57" spans="1:26" ht="18.75" hidden="1">
      <c r="A57" s="951"/>
      <c r="B57" s="952"/>
      <c r="C57" s="952"/>
      <c r="D57" s="952"/>
      <c r="E57" s="953" t="s">
        <v>18</v>
      </c>
      <c r="F57" s="952"/>
      <c r="G57" s="954"/>
      <c r="H57" s="955" t="s">
        <v>12</v>
      </c>
      <c r="I57" s="956"/>
      <c r="J57" s="956"/>
      <c r="K57" s="957"/>
      <c r="L57" s="957">
        <v>0</v>
      </c>
      <c r="M57" s="957">
        <v>0</v>
      </c>
      <c r="N57" s="957">
        <v>0</v>
      </c>
      <c r="O57" s="957">
        <f t="shared" si="32"/>
        <v>0</v>
      </c>
      <c r="P57" s="957">
        <f t="shared" si="33"/>
        <v>0</v>
      </c>
      <c r="Q57" s="943"/>
      <c r="R57" s="943"/>
      <c r="S57" s="943"/>
      <c r="T57" s="943"/>
      <c r="U57" s="943"/>
      <c r="V57" s="943"/>
      <c r="W57" s="943"/>
      <c r="X57" s="943"/>
      <c r="Y57" s="943"/>
      <c r="Z57" s="943"/>
    </row>
    <row r="58" spans="1:26" ht="18.75" hidden="1">
      <c r="A58" s="951"/>
      <c r="B58" s="952"/>
      <c r="C58" s="952"/>
      <c r="D58" s="952"/>
      <c r="E58" s="953" t="s">
        <v>19</v>
      </c>
      <c r="F58" s="952"/>
      <c r="G58" s="954"/>
      <c r="H58" s="955" t="s">
        <v>12</v>
      </c>
      <c r="I58" s="956"/>
      <c r="J58" s="956"/>
      <c r="K58" s="957"/>
      <c r="L58" s="957">
        <f ca="1">IFERROR(__xludf.DUMMYFUNCTION("IMPORTRANGE(""https://docs.google.com/spreadsheets/d/1MeEWN-I1oV_STSDYn1IFDPWt_1FKiwhDph83XaGc0o0/edit?usp=sharing"",""งบพรบ!W62"")"),577900)</f>
        <v>577900</v>
      </c>
      <c r="M58" s="957">
        <f ca="1">IFERROR(__xludf.DUMMYFUNCTION("IMPORTRANGE(""https://docs.google.com/spreadsheets/d/1MeEWN-I1oV_STSDYn1IFDPWt_1FKiwhDph83XaGc0o0/edit?usp=sharing"",""งบพรบ!AB62"")"),433425)</f>
        <v>433425</v>
      </c>
      <c r="N58" s="957">
        <f ca="1">IFERROR(__xludf.DUMMYFUNCTION("IMPORTRANGE(""https://docs.google.com/spreadsheets/d/1MeEWN-I1oV_STSDYn1IFDPWt_1FKiwhDph83XaGc0o0/edit?usp=sharing"",""งบพรบ!AD62"")"),427543.1)</f>
        <v>427543.1</v>
      </c>
      <c r="O58" s="957">
        <f t="shared" ca="1" si="32"/>
        <v>73.982194151237238</v>
      </c>
      <c r="P58" s="957">
        <f t="shared" ca="1" si="33"/>
        <v>98.642925534982979</v>
      </c>
      <c r="Q58" s="943"/>
      <c r="R58" s="943"/>
      <c r="S58" s="943"/>
      <c r="T58" s="943"/>
      <c r="U58" s="943"/>
      <c r="V58" s="943"/>
      <c r="W58" s="943"/>
      <c r="X58" s="943"/>
      <c r="Y58" s="943"/>
      <c r="Z58" s="943"/>
    </row>
    <row r="59" spans="1:26" ht="18.75">
      <c r="A59" s="944"/>
      <c r="B59" s="945"/>
      <c r="C59" s="945"/>
      <c r="D59" s="946" t="s">
        <v>21</v>
      </c>
      <c r="E59" s="945"/>
      <c r="F59" s="945"/>
      <c r="G59" s="947"/>
      <c r="H59" s="948" t="s">
        <v>12</v>
      </c>
      <c r="I59" s="949"/>
      <c r="J59" s="949"/>
      <c r="K59" s="950"/>
      <c r="L59" s="950">
        <f t="shared" ref="L59:N59" ca="1" si="36">L60+L61</f>
        <v>0</v>
      </c>
      <c r="M59" s="950">
        <f t="shared" ca="1" si="36"/>
        <v>0</v>
      </c>
      <c r="N59" s="950">
        <f t="shared" ca="1" si="36"/>
        <v>0</v>
      </c>
      <c r="O59" s="950">
        <f t="shared" ca="1" si="32"/>
        <v>0</v>
      </c>
      <c r="P59" s="950">
        <f t="shared" ca="1" si="33"/>
        <v>0</v>
      </c>
      <c r="Q59" s="935"/>
      <c r="R59" s="935"/>
      <c r="S59" s="935"/>
      <c r="T59" s="935"/>
      <c r="U59" s="935"/>
      <c r="V59" s="935"/>
      <c r="W59" s="935"/>
      <c r="X59" s="935"/>
      <c r="Y59" s="935"/>
      <c r="Z59" s="935"/>
    </row>
    <row r="60" spans="1:26" ht="18.75" hidden="1">
      <c r="A60" s="951"/>
      <c r="B60" s="952"/>
      <c r="C60" s="952"/>
      <c r="D60" s="952"/>
      <c r="E60" s="953" t="s">
        <v>18</v>
      </c>
      <c r="F60" s="952"/>
      <c r="G60" s="954"/>
      <c r="H60" s="955" t="s">
        <v>12</v>
      </c>
      <c r="I60" s="956"/>
      <c r="J60" s="956"/>
      <c r="K60" s="957"/>
      <c r="L60" s="957">
        <v>0</v>
      </c>
      <c r="M60" s="957">
        <v>0</v>
      </c>
      <c r="N60" s="957">
        <v>0</v>
      </c>
      <c r="O60" s="957">
        <f t="shared" si="32"/>
        <v>0</v>
      </c>
      <c r="P60" s="957">
        <f t="shared" si="33"/>
        <v>0</v>
      </c>
      <c r="Q60" s="943"/>
      <c r="R60" s="943"/>
      <c r="S60" s="943"/>
      <c r="T60" s="943"/>
      <c r="U60" s="943"/>
      <c r="V60" s="943"/>
      <c r="W60" s="943"/>
      <c r="X60" s="943"/>
      <c r="Y60" s="943"/>
      <c r="Z60" s="943"/>
    </row>
    <row r="61" spans="1:26" ht="18.75" hidden="1">
      <c r="A61" s="958"/>
      <c r="B61" s="959"/>
      <c r="C61" s="959"/>
      <c r="D61" s="959"/>
      <c r="E61" s="960" t="s">
        <v>19</v>
      </c>
      <c r="F61" s="959"/>
      <c r="G61" s="961"/>
      <c r="H61" s="962" t="s">
        <v>12</v>
      </c>
      <c r="I61" s="963"/>
      <c r="J61" s="963"/>
      <c r="K61" s="964"/>
      <c r="L61" s="964">
        <f ca="1">IFERROR(__xludf.DUMMYFUNCTION("IMPORTRANGE(""https://docs.google.com/spreadsheets/d/1MeEWN-I1oV_STSDYn1IFDPWt_1FKiwhDph83XaGc0o0/edit?usp=sharing"",""งบพรบ!Z62"")"),0)</f>
        <v>0</v>
      </c>
      <c r="M61" s="964">
        <f ca="1">IFERROR(__xludf.DUMMYFUNCTION("IMPORTRANGE(""https://docs.google.com/spreadsheets/d/1MeEWN-I1oV_STSDYn1IFDPWt_1FKiwhDph83XaGc0o0/edit?usp=sharing"",""งบพรบ!AC62"")"),0)</f>
        <v>0</v>
      </c>
      <c r="N61" s="964">
        <f ca="1">IFERROR(__xludf.DUMMYFUNCTION("IMPORTRANGE(""https://docs.google.com/spreadsheets/d/1MeEWN-I1oV_STSDYn1IFDPWt_1FKiwhDph83XaGc0o0/edit?usp=sharing"",""งบพรบ!AE62"")"),0)</f>
        <v>0</v>
      </c>
      <c r="O61" s="964">
        <f t="shared" ca="1" si="32"/>
        <v>0</v>
      </c>
      <c r="P61" s="964">
        <f t="shared" ca="1" si="33"/>
        <v>0</v>
      </c>
      <c r="Q61" s="943"/>
      <c r="R61" s="943"/>
      <c r="S61" s="943"/>
      <c r="T61" s="943"/>
      <c r="U61" s="943"/>
      <c r="V61" s="943"/>
      <c r="W61" s="943"/>
      <c r="X61" s="943"/>
      <c r="Y61" s="943"/>
      <c r="Z61" s="943"/>
    </row>
    <row r="62" spans="1:26" ht="19.5">
      <c r="A62" s="1040" t="s">
        <v>31</v>
      </c>
      <c r="B62" s="1041"/>
      <c r="C62" s="1041"/>
      <c r="D62" s="1041"/>
      <c r="E62" s="1042"/>
      <c r="F62" s="1042"/>
      <c r="G62" s="1043"/>
      <c r="H62" s="1044"/>
      <c r="I62" s="1045"/>
      <c r="J62" s="1045"/>
      <c r="K62" s="1046"/>
      <c r="L62" s="1046"/>
      <c r="M62" s="1046"/>
      <c r="N62" s="1046"/>
      <c r="O62" s="1046"/>
      <c r="P62" s="1046"/>
    </row>
    <row r="63" spans="1:26" ht="19.5" hidden="1">
      <c r="A63" s="1047" t="s">
        <v>32</v>
      </c>
      <c r="B63" s="1048"/>
      <c r="C63" s="1049"/>
      <c r="D63" s="1048"/>
      <c r="E63" s="1048"/>
      <c r="F63" s="1048"/>
      <c r="G63" s="1050"/>
      <c r="H63" s="1051"/>
      <c r="I63" s="1052"/>
      <c r="J63" s="1052"/>
      <c r="K63" s="1053"/>
      <c r="L63" s="1053"/>
      <c r="M63" s="1053"/>
      <c r="N63" s="1053"/>
      <c r="O63" s="1053"/>
      <c r="P63" s="1053"/>
    </row>
    <row r="64" spans="1:26" ht="19.5" hidden="1">
      <c r="A64" s="1054"/>
      <c r="B64" s="1055" t="s">
        <v>33</v>
      </c>
      <c r="C64" s="1056"/>
      <c r="D64" s="1057"/>
      <c r="E64" s="1056"/>
      <c r="F64" s="1056"/>
      <c r="G64" s="1058"/>
      <c r="H64" s="1059" t="s">
        <v>34</v>
      </c>
      <c r="I64" s="1060">
        <f t="shared" ref="I64:J65" ca="1" si="37">I76</f>
        <v>0</v>
      </c>
      <c r="J64" s="1060">
        <f t="shared" si="37"/>
        <v>0</v>
      </c>
      <c r="K64" s="1061">
        <f t="shared" ref="K64:K65" ca="1" si="38">IF(I64&gt;0,J64*100/I64,0)</f>
        <v>0</v>
      </c>
      <c r="L64" s="1062"/>
      <c r="M64" s="1062"/>
      <c r="N64" s="1062"/>
      <c r="O64" s="1062"/>
      <c r="P64" s="1062"/>
    </row>
    <row r="65" spans="1:26" ht="19.5" hidden="1">
      <c r="A65" s="1054"/>
      <c r="B65" s="1056"/>
      <c r="C65" s="1056"/>
      <c r="D65" s="1057"/>
      <c r="E65" s="1056"/>
      <c r="F65" s="1056"/>
      <c r="G65" s="1058"/>
      <c r="H65" s="1059" t="s">
        <v>35</v>
      </c>
      <c r="I65" s="1060">
        <f t="shared" ca="1" si="37"/>
        <v>0</v>
      </c>
      <c r="J65" s="1060">
        <f t="shared" si="37"/>
        <v>0</v>
      </c>
      <c r="K65" s="1061">
        <f t="shared" ca="1" si="38"/>
        <v>0</v>
      </c>
      <c r="L65" s="1062"/>
      <c r="M65" s="1062"/>
      <c r="N65" s="1062"/>
      <c r="O65" s="1062"/>
      <c r="P65" s="1062"/>
    </row>
    <row r="66" spans="1:26" ht="19.5" hidden="1">
      <c r="A66" s="1063"/>
      <c r="B66" s="1064"/>
      <c r="C66" s="1065" t="s">
        <v>16</v>
      </c>
      <c r="D66" s="1066" t="s">
        <v>17</v>
      </c>
      <c r="E66" s="1064"/>
      <c r="F66" s="1064"/>
      <c r="G66" s="1067"/>
      <c r="H66" s="1068" t="s">
        <v>12</v>
      </c>
      <c r="I66" s="1069"/>
      <c r="J66" s="1069"/>
      <c r="K66" s="1070"/>
      <c r="L66" s="1071">
        <f t="shared" ref="L66:N66" ca="1" si="39">L67+L68</f>
        <v>0</v>
      </c>
      <c r="M66" s="1071">
        <f t="shared" ca="1" si="39"/>
        <v>0</v>
      </c>
      <c r="N66" s="1071">
        <f t="shared" ca="1" si="39"/>
        <v>0</v>
      </c>
      <c r="O66" s="1071">
        <f t="shared" ref="O66:O74" ca="1" si="40">IF(L66&gt;0,N66*100/L66,0)</f>
        <v>0</v>
      </c>
      <c r="P66" s="1071">
        <f t="shared" ref="P66:P74" ca="1" si="41">IF(M66&gt;0,N66*100/M66,0)</f>
        <v>0</v>
      </c>
      <c r="Q66" s="935"/>
      <c r="R66" s="935"/>
      <c r="S66" s="935"/>
      <c r="T66" s="935"/>
      <c r="U66" s="935"/>
      <c r="V66" s="935"/>
      <c r="W66" s="935"/>
      <c r="X66" s="935"/>
      <c r="Y66" s="935"/>
      <c r="Z66" s="935"/>
    </row>
    <row r="67" spans="1:26" ht="18.75" hidden="1">
      <c r="A67" s="1072"/>
      <c r="B67" s="952"/>
      <c r="C67" s="952"/>
      <c r="D67" s="952"/>
      <c r="E67" s="953" t="s">
        <v>18</v>
      </c>
      <c r="F67" s="952"/>
      <c r="G67" s="1073"/>
      <c r="H67" s="1074" t="s">
        <v>12</v>
      </c>
      <c r="I67" s="956"/>
      <c r="J67" s="956"/>
      <c r="K67" s="957"/>
      <c r="L67" s="957">
        <f t="shared" ref="L67:N68" si="42">L70+L73</f>
        <v>0</v>
      </c>
      <c r="M67" s="957">
        <f t="shared" si="42"/>
        <v>0</v>
      </c>
      <c r="N67" s="957">
        <f t="shared" si="42"/>
        <v>0</v>
      </c>
      <c r="O67" s="957">
        <f t="shared" si="40"/>
        <v>0</v>
      </c>
      <c r="P67" s="957">
        <f t="shared" si="41"/>
        <v>0</v>
      </c>
      <c r="Q67" s="943"/>
      <c r="R67" s="943"/>
      <c r="S67" s="943"/>
      <c r="T67" s="943"/>
      <c r="U67" s="943"/>
      <c r="V67" s="943"/>
      <c r="W67" s="943"/>
      <c r="X67" s="943"/>
      <c r="Y67" s="943"/>
      <c r="Z67" s="943"/>
    </row>
    <row r="68" spans="1:26" ht="18.75" hidden="1">
      <c r="A68" s="1072"/>
      <c r="B68" s="952"/>
      <c r="C68" s="952"/>
      <c r="D68" s="952"/>
      <c r="E68" s="953" t="s">
        <v>19</v>
      </c>
      <c r="F68" s="952"/>
      <c r="G68" s="1073"/>
      <c r="H68" s="1074" t="s">
        <v>12</v>
      </c>
      <c r="I68" s="956"/>
      <c r="J68" s="956"/>
      <c r="K68" s="957"/>
      <c r="L68" s="957">
        <f t="shared" ca="1" si="42"/>
        <v>0</v>
      </c>
      <c r="M68" s="957">
        <f t="shared" ca="1" si="42"/>
        <v>0</v>
      </c>
      <c r="N68" s="957">
        <f t="shared" ca="1" si="42"/>
        <v>0</v>
      </c>
      <c r="O68" s="957">
        <f t="shared" ca="1" si="40"/>
        <v>0</v>
      </c>
      <c r="P68" s="957">
        <f t="shared" ca="1" si="41"/>
        <v>0</v>
      </c>
      <c r="Q68" s="943"/>
      <c r="R68" s="943"/>
      <c r="S68" s="943"/>
      <c r="T68" s="943"/>
      <c r="U68" s="943"/>
      <c r="V68" s="943"/>
      <c r="W68" s="943"/>
      <c r="X68" s="943"/>
      <c r="Y68" s="943"/>
      <c r="Z68" s="943"/>
    </row>
    <row r="69" spans="1:26" ht="18.75" hidden="1">
      <c r="A69" s="1075"/>
      <c r="B69" s="945"/>
      <c r="C69" s="1076"/>
      <c r="D69" s="946" t="s">
        <v>20</v>
      </c>
      <c r="E69" s="945"/>
      <c r="F69" s="945"/>
      <c r="G69" s="947"/>
      <c r="H69" s="1077" t="s">
        <v>12</v>
      </c>
      <c r="I69" s="1078"/>
      <c r="J69" s="1078"/>
      <c r="K69" s="1079"/>
      <c r="L69" s="950">
        <f t="shared" ref="L69:N69" ca="1" si="43">L70+L71</f>
        <v>0</v>
      </c>
      <c r="M69" s="950">
        <f t="shared" ca="1" si="43"/>
        <v>0</v>
      </c>
      <c r="N69" s="950">
        <f t="shared" ca="1" si="43"/>
        <v>0</v>
      </c>
      <c r="O69" s="950">
        <f t="shared" ca="1" si="40"/>
        <v>0</v>
      </c>
      <c r="P69" s="950">
        <f t="shared" ca="1" si="41"/>
        <v>0</v>
      </c>
      <c r="Q69" s="935"/>
      <c r="R69" s="935"/>
      <c r="S69" s="935"/>
      <c r="T69" s="935"/>
      <c r="U69" s="935"/>
      <c r="V69" s="935"/>
      <c r="W69" s="935"/>
      <c r="X69" s="935"/>
      <c r="Y69" s="935"/>
      <c r="Z69" s="935"/>
    </row>
    <row r="70" spans="1:26" ht="19.5" hidden="1">
      <c r="A70" s="1072"/>
      <c r="B70" s="952"/>
      <c r="C70" s="1080"/>
      <c r="D70" s="952"/>
      <c r="E70" s="953" t="s">
        <v>36</v>
      </c>
      <c r="F70" s="952"/>
      <c r="G70" s="1073"/>
      <c r="H70" s="1081" t="s">
        <v>12</v>
      </c>
      <c r="I70" s="1082"/>
      <c r="J70" s="1082"/>
      <c r="K70" s="1083"/>
      <c r="L70" s="957">
        <v>0</v>
      </c>
      <c r="M70" s="957">
        <v>0</v>
      </c>
      <c r="N70" s="957">
        <v>0</v>
      </c>
      <c r="O70" s="957">
        <f t="shared" si="40"/>
        <v>0</v>
      </c>
      <c r="P70" s="957">
        <f t="shared" si="41"/>
        <v>0</v>
      </c>
      <c r="Q70" s="943"/>
      <c r="R70" s="943"/>
      <c r="S70" s="943"/>
      <c r="T70" s="943"/>
      <c r="U70" s="943"/>
      <c r="V70" s="943"/>
      <c r="W70" s="943"/>
      <c r="X70" s="943"/>
      <c r="Y70" s="943"/>
      <c r="Z70" s="943"/>
    </row>
    <row r="71" spans="1:26" ht="19.5" hidden="1">
      <c r="A71" s="1072"/>
      <c r="B71" s="952"/>
      <c r="C71" s="1080"/>
      <c r="D71" s="952"/>
      <c r="E71" s="953" t="s">
        <v>37</v>
      </c>
      <c r="F71" s="952"/>
      <c r="G71" s="1073"/>
      <c r="H71" s="1081" t="s">
        <v>12</v>
      </c>
      <c r="I71" s="1082"/>
      <c r="J71" s="1082"/>
      <c r="K71" s="1083"/>
      <c r="L71" s="957">
        <f ca="1">IFERROR(__xludf.DUMMYFUNCTION("IMPORTRANGE(""https://docs.google.com/spreadsheets/d/1MeEWN-I1oV_STSDYn1IFDPWt_1FKiwhDph83XaGc0o0/edit?usp=sharing"",""งบพรบ!AG62"")"),0)</f>
        <v>0</v>
      </c>
      <c r="M71" s="957">
        <f ca="1">IFERROR(__xludf.DUMMYFUNCTION("IMPORTRANGE(""https://docs.google.com/spreadsheets/d/1MeEWN-I1oV_STSDYn1IFDPWt_1FKiwhDph83XaGc0o0/edit?usp=sharing"",""งบพรบ!AL62"")"),0)</f>
        <v>0</v>
      </c>
      <c r="N71" s="957">
        <f ca="1">IFERROR(__xludf.DUMMYFUNCTION("IMPORTRANGE(""https://docs.google.com/spreadsheets/d/1MeEWN-I1oV_STSDYn1IFDPWt_1FKiwhDph83XaGc0o0/edit?usp=sharing"",""งบพรบ!AN62"")"),0)</f>
        <v>0</v>
      </c>
      <c r="O71" s="957">
        <f t="shared" ca="1" si="40"/>
        <v>0</v>
      </c>
      <c r="P71" s="957">
        <f t="shared" ca="1" si="41"/>
        <v>0</v>
      </c>
      <c r="Q71" s="943"/>
      <c r="R71" s="943"/>
      <c r="S71" s="943"/>
      <c r="T71" s="943"/>
      <c r="U71" s="943"/>
      <c r="V71" s="943"/>
      <c r="W71" s="943"/>
      <c r="X71" s="943"/>
      <c r="Y71" s="943"/>
      <c r="Z71" s="943"/>
    </row>
    <row r="72" spans="1:26" ht="18.75" hidden="1">
      <c r="A72" s="1075"/>
      <c r="B72" s="945"/>
      <c r="C72" s="1076"/>
      <c r="D72" s="946" t="s">
        <v>21</v>
      </c>
      <c r="E72" s="945"/>
      <c r="F72" s="945"/>
      <c r="G72" s="947"/>
      <c r="H72" s="1084" t="s">
        <v>12</v>
      </c>
      <c r="I72" s="1078"/>
      <c r="J72" s="1078"/>
      <c r="K72" s="1079"/>
      <c r="L72" s="950">
        <f t="shared" ref="L72:N72" ca="1" si="44">L73+L74</f>
        <v>0</v>
      </c>
      <c r="M72" s="950">
        <f t="shared" ca="1" si="44"/>
        <v>0</v>
      </c>
      <c r="N72" s="950">
        <f t="shared" ca="1" si="44"/>
        <v>0</v>
      </c>
      <c r="O72" s="950">
        <f t="shared" ca="1" si="40"/>
        <v>0</v>
      </c>
      <c r="P72" s="950">
        <f t="shared" ca="1" si="41"/>
        <v>0</v>
      </c>
      <c r="Q72" s="935"/>
      <c r="R72" s="935"/>
      <c r="S72" s="935"/>
      <c r="T72" s="935"/>
      <c r="U72" s="935"/>
      <c r="V72" s="935"/>
      <c r="W72" s="935"/>
      <c r="X72" s="935"/>
      <c r="Y72" s="935"/>
      <c r="Z72" s="935"/>
    </row>
    <row r="73" spans="1:26" ht="19.5" hidden="1">
      <c r="A73" s="1072"/>
      <c r="B73" s="952"/>
      <c r="C73" s="1080"/>
      <c r="D73" s="952"/>
      <c r="E73" s="953" t="s">
        <v>18</v>
      </c>
      <c r="F73" s="952"/>
      <c r="G73" s="1073"/>
      <c r="H73" s="1081" t="s">
        <v>12</v>
      </c>
      <c r="I73" s="1082"/>
      <c r="J73" s="1082"/>
      <c r="K73" s="1083"/>
      <c r="L73" s="957">
        <v>0</v>
      </c>
      <c r="M73" s="957"/>
      <c r="N73" s="957"/>
      <c r="O73" s="957">
        <f t="shared" si="40"/>
        <v>0</v>
      </c>
      <c r="P73" s="957">
        <f t="shared" si="41"/>
        <v>0</v>
      </c>
      <c r="Q73" s="943"/>
      <c r="R73" s="943"/>
      <c r="S73" s="943"/>
      <c r="T73" s="943"/>
      <c r="U73" s="943"/>
      <c r="V73" s="943"/>
      <c r="W73" s="943"/>
      <c r="X73" s="943"/>
      <c r="Y73" s="943"/>
      <c r="Z73" s="943"/>
    </row>
    <row r="74" spans="1:26" ht="19.5" hidden="1">
      <c r="A74" s="1072"/>
      <c r="B74" s="952"/>
      <c r="C74" s="1080"/>
      <c r="D74" s="952"/>
      <c r="E74" s="953" t="s">
        <v>19</v>
      </c>
      <c r="F74" s="952"/>
      <c r="G74" s="1073"/>
      <c r="H74" s="1085" t="s">
        <v>12</v>
      </c>
      <c r="I74" s="1082"/>
      <c r="J74" s="1082"/>
      <c r="K74" s="1083"/>
      <c r="L74" s="957">
        <f ca="1">IFERROR(__xludf.DUMMYFUNCTION("IMPORTRANGE(""https://docs.google.com/spreadsheets/d/1MeEWN-I1oV_STSDYn1IFDPWt_1FKiwhDph83XaGc0o0/edit?usp=sharing"",""งบพรบ!AJ62"")"),0)</f>
        <v>0</v>
      </c>
      <c r="M74" s="957">
        <f ca="1">IFERROR(__xludf.DUMMYFUNCTION("IMPORTRANGE(""https://docs.google.com/spreadsheets/d/1MeEWN-I1oV_STSDYn1IFDPWt_1FKiwhDph83XaGc0o0/edit?usp=sharing"",""งบพรบ!AM62"")"),0)</f>
        <v>0</v>
      </c>
      <c r="N74" s="957">
        <f ca="1">IFERROR(__xludf.DUMMYFUNCTION("IMPORTRANGE(""https://docs.google.com/spreadsheets/d/1MeEWN-I1oV_STSDYn1IFDPWt_1FKiwhDph83XaGc0o0/edit?usp=sharing"",""งบพรบ!AO62"")"),0)</f>
        <v>0</v>
      </c>
      <c r="O74" s="957">
        <f t="shared" ca="1" si="40"/>
        <v>0</v>
      </c>
      <c r="P74" s="957">
        <f t="shared" ca="1" si="41"/>
        <v>0</v>
      </c>
      <c r="Q74" s="943"/>
      <c r="R74" s="943"/>
      <c r="S74" s="943"/>
      <c r="T74" s="943"/>
      <c r="U74" s="943"/>
      <c r="V74" s="943"/>
      <c r="W74" s="943"/>
      <c r="X74" s="943"/>
      <c r="Y74" s="943"/>
      <c r="Z74" s="943"/>
    </row>
    <row r="75" spans="1:26" ht="19.5" hidden="1">
      <c r="A75" s="1086"/>
      <c r="B75" s="1087"/>
      <c r="C75" s="1080" t="s">
        <v>16</v>
      </c>
      <c r="D75" s="1088" t="s">
        <v>38</v>
      </c>
      <c r="E75" s="1089"/>
      <c r="F75" s="1089"/>
      <c r="G75" s="1090"/>
      <c r="H75" s="1091"/>
      <c r="I75" s="1078"/>
      <c r="J75" s="1078"/>
      <c r="K75" s="1079"/>
      <c r="L75" s="1079"/>
      <c r="M75" s="1079"/>
      <c r="N75" s="1079"/>
      <c r="O75" s="1079"/>
      <c r="P75" s="1079"/>
    </row>
    <row r="76" spans="1:26" ht="19.5" hidden="1">
      <c r="A76" s="1086"/>
      <c r="B76" s="1087"/>
      <c r="C76" s="1087"/>
      <c r="D76" s="1092" t="s">
        <v>39</v>
      </c>
      <c r="E76" s="1093"/>
      <c r="F76" s="1094"/>
      <c r="G76" s="1095"/>
      <c r="H76" s="1096" t="s">
        <v>34</v>
      </c>
      <c r="I76" s="949">
        <f t="shared" ref="I76:J77" ca="1" si="45">I78+I80+I82</f>
        <v>0</v>
      </c>
      <c r="J76" s="949">
        <f t="shared" si="45"/>
        <v>0</v>
      </c>
      <c r="K76" s="1079">
        <f t="shared" ref="K76:K84" ca="1" si="46">IF(I76&gt;0,J76*100/I76,0)</f>
        <v>0</v>
      </c>
      <c r="L76" s="1079"/>
      <c r="M76" s="1079"/>
      <c r="N76" s="1079"/>
      <c r="O76" s="1079"/>
      <c r="P76" s="1079"/>
    </row>
    <row r="77" spans="1:26" ht="19.5" hidden="1">
      <c r="A77" s="1086"/>
      <c r="B77" s="1087"/>
      <c r="C77" s="1087"/>
      <c r="D77" s="1087"/>
      <c r="E77" s="1094"/>
      <c r="F77" s="1094"/>
      <c r="G77" s="1095"/>
      <c r="H77" s="1096" t="s">
        <v>35</v>
      </c>
      <c r="I77" s="949">
        <f t="shared" ca="1" si="45"/>
        <v>0</v>
      </c>
      <c r="J77" s="949">
        <f t="shared" si="45"/>
        <v>0</v>
      </c>
      <c r="K77" s="1079">
        <f t="shared" ca="1" si="46"/>
        <v>0</v>
      </c>
      <c r="L77" s="1079"/>
      <c r="M77" s="1079"/>
      <c r="N77" s="1079"/>
      <c r="O77" s="1079"/>
      <c r="P77" s="1079"/>
    </row>
    <row r="78" spans="1:26" ht="18.75" hidden="1">
      <c r="A78" s="1086"/>
      <c r="B78" s="1087"/>
      <c r="C78" s="1087"/>
      <c r="D78" s="1087"/>
      <c r="E78" s="1093" t="s">
        <v>40</v>
      </c>
      <c r="F78" s="1093"/>
      <c r="G78" s="1095"/>
      <c r="H78" s="1097" t="s">
        <v>34</v>
      </c>
      <c r="I78" s="1078">
        <f ca="1">IFERROR(__xludf.DUMMYFUNCTION("IMPORTRANGE(""https://docs.google.com/spreadsheets/d/1QqKyyYR6Q21VydFLVH3TRQUabQu_ym0Zz7PgGX0-kHA/edit?usp=sharing"",""แผน!H62"")"),0)</f>
        <v>0</v>
      </c>
      <c r="J78" s="1098">
        <v>0</v>
      </c>
      <c r="K78" s="1079">
        <f t="shared" ca="1" si="46"/>
        <v>0</v>
      </c>
      <c r="L78" s="1079"/>
      <c r="M78" s="1079"/>
      <c r="N78" s="1079"/>
      <c r="O78" s="1079"/>
      <c r="P78" s="1079"/>
    </row>
    <row r="79" spans="1:26" ht="18.75" hidden="1">
      <c r="A79" s="1086"/>
      <c r="B79" s="1087"/>
      <c r="C79" s="1087"/>
      <c r="D79" s="1087"/>
      <c r="E79" s="1094"/>
      <c r="F79" s="1094"/>
      <c r="G79" s="1095"/>
      <c r="H79" s="1097" t="s">
        <v>35</v>
      </c>
      <c r="I79" s="1078">
        <f ca="1">IFERROR(__xludf.DUMMYFUNCTION("IMPORTRANGE(""https://docs.google.com/spreadsheets/d/1QqKyyYR6Q21VydFLVH3TRQUabQu_ym0Zz7PgGX0-kHA/edit?usp=sharing"",""แผน!I62"")"),0)</f>
        <v>0</v>
      </c>
      <c r="J79" s="1098">
        <v>0</v>
      </c>
      <c r="K79" s="1079">
        <f t="shared" ca="1" si="46"/>
        <v>0</v>
      </c>
      <c r="L79" s="1079"/>
      <c r="M79" s="1079"/>
      <c r="N79" s="1079"/>
      <c r="O79" s="1079"/>
      <c r="P79" s="1079"/>
    </row>
    <row r="80" spans="1:26" ht="18.75" hidden="1">
      <c r="A80" s="1086"/>
      <c r="B80" s="1087"/>
      <c r="C80" s="1087"/>
      <c r="D80" s="1087"/>
      <c r="E80" s="1093" t="s">
        <v>41</v>
      </c>
      <c r="F80" s="1093"/>
      <c r="G80" s="1095"/>
      <c r="H80" s="1097" t="s">
        <v>34</v>
      </c>
      <c r="I80" s="1078">
        <f ca="1">IFERROR(__xludf.DUMMYFUNCTION("IMPORTRANGE(""https://docs.google.com/spreadsheets/d/1QqKyyYR6Q21VydFLVH3TRQUabQu_ym0Zz7PgGX0-kHA/edit?usp=sharing"",""แผน!F62"")"),0)</f>
        <v>0</v>
      </c>
      <c r="J80" s="1098">
        <v>0</v>
      </c>
      <c r="K80" s="1079">
        <f t="shared" ca="1" si="46"/>
        <v>0</v>
      </c>
      <c r="L80" s="1079"/>
      <c r="M80" s="1079"/>
      <c r="N80" s="1079"/>
      <c r="O80" s="1079"/>
      <c r="P80" s="1079"/>
    </row>
    <row r="81" spans="1:26" ht="18.75" hidden="1">
      <c r="A81" s="1086"/>
      <c r="B81" s="1087"/>
      <c r="C81" s="1087"/>
      <c r="D81" s="1087"/>
      <c r="E81" s="1094"/>
      <c r="F81" s="1094"/>
      <c r="G81" s="1095"/>
      <c r="H81" s="1097" t="s">
        <v>35</v>
      </c>
      <c r="I81" s="1078">
        <f ca="1">IFERROR(__xludf.DUMMYFUNCTION("IMPORTRANGE(""https://docs.google.com/spreadsheets/d/1QqKyyYR6Q21VydFLVH3TRQUabQu_ym0Zz7PgGX0-kHA/edit?usp=sharing"",""แผน!G62"")"),0)</f>
        <v>0</v>
      </c>
      <c r="J81" s="1098">
        <v>0</v>
      </c>
      <c r="K81" s="1079">
        <f t="shared" ca="1" si="46"/>
        <v>0</v>
      </c>
      <c r="L81" s="1079"/>
      <c r="M81" s="1079"/>
      <c r="N81" s="1079"/>
      <c r="O81" s="1079"/>
      <c r="P81" s="1079"/>
    </row>
    <row r="82" spans="1:26" ht="18.75" hidden="1">
      <c r="A82" s="1086"/>
      <c r="B82" s="1087"/>
      <c r="C82" s="1087"/>
      <c r="D82" s="1087"/>
      <c r="E82" s="1093" t="s">
        <v>42</v>
      </c>
      <c r="F82" s="1093"/>
      <c r="G82" s="1095"/>
      <c r="H82" s="1097" t="s">
        <v>34</v>
      </c>
      <c r="I82" s="1078">
        <f ca="1">IFERROR(__xludf.DUMMYFUNCTION("IMPORTRANGE(""https://docs.google.com/spreadsheets/d/1QqKyyYR6Q21VydFLVH3TRQUabQu_ym0Zz7PgGX0-kHA/edit?usp=sharing"",""แผน!D62"")"),0)</f>
        <v>0</v>
      </c>
      <c r="J82" s="1098">
        <v>0</v>
      </c>
      <c r="K82" s="1079">
        <f t="shared" ca="1" si="46"/>
        <v>0</v>
      </c>
      <c r="L82" s="1079"/>
      <c r="M82" s="1079"/>
      <c r="N82" s="1079"/>
      <c r="O82" s="1079"/>
      <c r="P82" s="1079"/>
    </row>
    <row r="83" spans="1:26" ht="18.75" hidden="1">
      <c r="A83" s="1086"/>
      <c r="B83" s="1087"/>
      <c r="C83" s="1087"/>
      <c r="D83" s="1087"/>
      <c r="E83" s="1094"/>
      <c r="F83" s="1094"/>
      <c r="G83" s="1095"/>
      <c r="H83" s="1097" t="s">
        <v>35</v>
      </c>
      <c r="I83" s="1078">
        <f ca="1">IFERROR(__xludf.DUMMYFUNCTION("IMPORTRANGE(""https://docs.google.com/spreadsheets/d/1QqKyyYR6Q21VydFLVH3TRQUabQu_ym0Zz7PgGX0-kHA/edit?usp=sharing"",""แผน!E62"")"),0)</f>
        <v>0</v>
      </c>
      <c r="J83" s="1098">
        <v>0</v>
      </c>
      <c r="K83" s="1079">
        <f t="shared" ca="1" si="46"/>
        <v>0</v>
      </c>
      <c r="L83" s="1079"/>
      <c r="M83" s="1079"/>
      <c r="N83" s="1079"/>
      <c r="O83" s="1079"/>
      <c r="P83" s="1079"/>
    </row>
    <row r="84" spans="1:26" ht="18.75" hidden="1">
      <c r="A84" s="1086"/>
      <c r="B84" s="1087"/>
      <c r="C84" s="1087"/>
      <c r="D84" s="1092" t="s">
        <v>43</v>
      </c>
      <c r="E84" s="1093"/>
      <c r="F84" s="1094"/>
      <c r="G84" s="1095"/>
      <c r="H84" s="1099" t="s">
        <v>34</v>
      </c>
      <c r="I84" s="1078">
        <f ca="1">IFERROR(__xludf.DUMMYFUNCTION("IMPORTRANGE(""https://docs.google.com/spreadsheets/d/1QqKyyYR6Q21VydFLVH3TRQUabQu_ym0Zz7PgGX0-kHA/edit?usp=sharing"",""แผน!J62"")"),0)</f>
        <v>0</v>
      </c>
      <c r="J84" s="1098">
        <v>0</v>
      </c>
      <c r="K84" s="1079">
        <f t="shared" ca="1" si="46"/>
        <v>0</v>
      </c>
      <c r="L84" s="1079"/>
      <c r="M84" s="1079"/>
      <c r="N84" s="1079"/>
      <c r="O84" s="1079"/>
      <c r="P84" s="1079"/>
    </row>
    <row r="85" spans="1:26" ht="19.5">
      <c r="A85" s="1047" t="s">
        <v>44</v>
      </c>
      <c r="B85" s="1048"/>
      <c r="C85" s="1049"/>
      <c r="D85" s="1048"/>
      <c r="E85" s="1048"/>
      <c r="F85" s="1048"/>
      <c r="G85" s="1050"/>
      <c r="H85" s="1051"/>
      <c r="I85" s="1052"/>
      <c r="J85" s="1052"/>
      <c r="K85" s="1053"/>
      <c r="L85" s="1053"/>
      <c r="M85" s="1053"/>
      <c r="N85" s="1053"/>
      <c r="O85" s="1053"/>
      <c r="P85" s="1053"/>
    </row>
    <row r="86" spans="1:26" ht="19.5">
      <c r="A86" s="1054"/>
      <c r="B86" s="1055" t="s">
        <v>45</v>
      </c>
      <c r="C86" s="1056"/>
      <c r="D86" s="1057"/>
      <c r="E86" s="1056"/>
      <c r="F86" s="1056"/>
      <c r="G86" s="1058"/>
      <c r="H86" s="1059" t="s">
        <v>46</v>
      </c>
      <c r="I86" s="1060">
        <f t="shared" ref="I86:J87" ca="1" si="47">I98</f>
        <v>0</v>
      </c>
      <c r="J86" s="1060">
        <f t="shared" si="47"/>
        <v>0</v>
      </c>
      <c r="K86" s="1061">
        <f t="shared" ref="K86:K87" ca="1" si="48">IF(I86&gt;0,J86*100/I86,0)</f>
        <v>0</v>
      </c>
      <c r="L86" s="1062"/>
      <c r="M86" s="1062"/>
      <c r="N86" s="1062"/>
      <c r="O86" s="1062"/>
      <c r="P86" s="1062"/>
    </row>
    <row r="87" spans="1:26" ht="19.5">
      <c r="A87" s="1054"/>
      <c r="B87" s="1056"/>
      <c r="C87" s="1056"/>
      <c r="D87" s="1057"/>
      <c r="E87" s="1056"/>
      <c r="F87" s="1056"/>
      <c r="G87" s="1058"/>
      <c r="H87" s="1059" t="s">
        <v>35</v>
      </c>
      <c r="I87" s="1060">
        <f t="shared" ca="1" si="47"/>
        <v>0</v>
      </c>
      <c r="J87" s="1060">
        <f t="shared" si="47"/>
        <v>0</v>
      </c>
      <c r="K87" s="1061">
        <f t="shared" ca="1" si="48"/>
        <v>0</v>
      </c>
      <c r="L87" s="1062"/>
      <c r="M87" s="1062"/>
      <c r="N87" s="1062"/>
      <c r="O87" s="1062"/>
      <c r="P87" s="1062"/>
    </row>
    <row r="88" spans="1:26" ht="19.5">
      <c r="A88" s="1063"/>
      <c r="B88" s="1064"/>
      <c r="C88" s="1065" t="s">
        <v>16</v>
      </c>
      <c r="D88" s="1066" t="s">
        <v>17</v>
      </c>
      <c r="E88" s="1064"/>
      <c r="F88" s="1064"/>
      <c r="G88" s="1067"/>
      <c r="H88" s="1068" t="s">
        <v>12</v>
      </c>
      <c r="I88" s="1069"/>
      <c r="J88" s="1069"/>
      <c r="K88" s="1070"/>
      <c r="L88" s="1071">
        <f t="shared" ref="L88:N88" ca="1" si="49">L89+L90</f>
        <v>174200</v>
      </c>
      <c r="M88" s="1071">
        <f t="shared" ca="1" si="49"/>
        <v>133350</v>
      </c>
      <c r="N88" s="1071">
        <f t="shared" ca="1" si="49"/>
        <v>107051.13</v>
      </c>
      <c r="O88" s="1071">
        <f t="shared" ref="O88:O96" ca="1" si="50">IF(L88&gt;0,N88*100/L88,0)</f>
        <v>61.453002296211253</v>
      </c>
      <c r="P88" s="1071">
        <f t="shared" ref="P88:P96" ca="1" si="51">IF(M88&gt;0,N88*100/M88,0)</f>
        <v>80.278312710911138</v>
      </c>
      <c r="Q88" s="935"/>
      <c r="R88" s="935"/>
      <c r="S88" s="935"/>
      <c r="T88" s="935"/>
      <c r="U88" s="935"/>
      <c r="V88" s="935"/>
      <c r="W88" s="935"/>
      <c r="X88" s="935"/>
      <c r="Y88" s="935"/>
      <c r="Z88" s="935"/>
    </row>
    <row r="89" spans="1:26" ht="18.75" hidden="1">
      <c r="A89" s="1072"/>
      <c r="B89" s="952"/>
      <c r="C89" s="952"/>
      <c r="D89" s="952"/>
      <c r="E89" s="953" t="s">
        <v>18</v>
      </c>
      <c r="F89" s="952"/>
      <c r="G89" s="1073"/>
      <c r="H89" s="1074" t="s">
        <v>12</v>
      </c>
      <c r="I89" s="956"/>
      <c r="J89" s="956"/>
      <c r="K89" s="957"/>
      <c r="L89" s="957">
        <f t="shared" ref="L89:N90" si="52">L92+L95</f>
        <v>0</v>
      </c>
      <c r="M89" s="957">
        <f t="shared" si="52"/>
        <v>0</v>
      </c>
      <c r="N89" s="957">
        <f t="shared" si="52"/>
        <v>0</v>
      </c>
      <c r="O89" s="957">
        <f t="shared" si="50"/>
        <v>0</v>
      </c>
      <c r="P89" s="957">
        <f t="shared" si="51"/>
        <v>0</v>
      </c>
      <c r="Q89" s="943"/>
      <c r="R89" s="943"/>
      <c r="S89" s="943"/>
      <c r="T89" s="943"/>
      <c r="U89" s="943"/>
      <c r="V89" s="943"/>
      <c r="W89" s="943"/>
      <c r="X89" s="943"/>
      <c r="Y89" s="943"/>
      <c r="Z89" s="943"/>
    </row>
    <row r="90" spans="1:26" ht="18.75" hidden="1">
      <c r="A90" s="1072"/>
      <c r="B90" s="952"/>
      <c r="C90" s="952"/>
      <c r="D90" s="952"/>
      <c r="E90" s="953" t="s">
        <v>19</v>
      </c>
      <c r="F90" s="952"/>
      <c r="G90" s="1073"/>
      <c r="H90" s="1074" t="s">
        <v>12</v>
      </c>
      <c r="I90" s="956"/>
      <c r="J90" s="956"/>
      <c r="K90" s="957"/>
      <c r="L90" s="957">
        <f t="shared" ca="1" si="52"/>
        <v>174200</v>
      </c>
      <c r="M90" s="957">
        <f t="shared" ca="1" si="52"/>
        <v>133350</v>
      </c>
      <c r="N90" s="957">
        <f t="shared" ca="1" si="52"/>
        <v>107051.13</v>
      </c>
      <c r="O90" s="957">
        <f t="shared" ca="1" si="50"/>
        <v>61.453002296211253</v>
      </c>
      <c r="P90" s="957">
        <f t="shared" ca="1" si="51"/>
        <v>80.278312710911138</v>
      </c>
      <c r="Q90" s="943"/>
      <c r="R90" s="943"/>
      <c r="S90" s="943"/>
      <c r="T90" s="943"/>
      <c r="U90" s="943"/>
      <c r="V90" s="943"/>
      <c r="W90" s="943"/>
      <c r="X90" s="943"/>
      <c r="Y90" s="943"/>
      <c r="Z90" s="943"/>
    </row>
    <row r="91" spans="1:26" ht="18.75">
      <c r="A91" s="1075"/>
      <c r="B91" s="945"/>
      <c r="C91" s="1076"/>
      <c r="D91" s="946" t="s">
        <v>20</v>
      </c>
      <c r="E91" s="945"/>
      <c r="F91" s="945"/>
      <c r="G91" s="947"/>
      <c r="H91" s="1077" t="s">
        <v>12</v>
      </c>
      <c r="I91" s="1078"/>
      <c r="J91" s="1078"/>
      <c r="K91" s="1079"/>
      <c r="L91" s="950">
        <f t="shared" ref="L91:N91" ca="1" si="53">L92+L93</f>
        <v>174200</v>
      </c>
      <c r="M91" s="950">
        <f t="shared" ca="1" si="53"/>
        <v>133350</v>
      </c>
      <c r="N91" s="950">
        <f t="shared" ca="1" si="53"/>
        <v>107051.13</v>
      </c>
      <c r="O91" s="950">
        <f t="shared" ca="1" si="50"/>
        <v>61.453002296211253</v>
      </c>
      <c r="P91" s="950">
        <f t="shared" ca="1" si="51"/>
        <v>80.278312710911138</v>
      </c>
      <c r="Q91" s="935"/>
      <c r="R91" s="935"/>
      <c r="S91" s="935"/>
      <c r="T91" s="935"/>
      <c r="U91" s="935"/>
      <c r="V91" s="935"/>
      <c r="W91" s="935"/>
      <c r="X91" s="935"/>
      <c r="Y91" s="935"/>
      <c r="Z91" s="935"/>
    </row>
    <row r="92" spans="1:26" ht="19.5" hidden="1">
      <c r="A92" s="1072"/>
      <c r="B92" s="952"/>
      <c r="C92" s="1080"/>
      <c r="D92" s="952"/>
      <c r="E92" s="953" t="s">
        <v>36</v>
      </c>
      <c r="F92" s="952"/>
      <c r="G92" s="1073"/>
      <c r="H92" s="1081" t="s">
        <v>12</v>
      </c>
      <c r="I92" s="1082"/>
      <c r="J92" s="1082"/>
      <c r="K92" s="1083"/>
      <c r="L92" s="957">
        <v>0</v>
      </c>
      <c r="M92" s="957">
        <v>0</v>
      </c>
      <c r="N92" s="957">
        <v>0</v>
      </c>
      <c r="O92" s="957">
        <f t="shared" si="50"/>
        <v>0</v>
      </c>
      <c r="P92" s="957">
        <f t="shared" si="51"/>
        <v>0</v>
      </c>
      <c r="Q92" s="943"/>
      <c r="R92" s="943"/>
      <c r="S92" s="943"/>
      <c r="T92" s="943"/>
      <c r="U92" s="943"/>
      <c r="V92" s="943"/>
      <c r="W92" s="943"/>
      <c r="X92" s="943"/>
      <c r="Y92" s="943"/>
      <c r="Z92" s="943"/>
    </row>
    <row r="93" spans="1:26" ht="19.5" hidden="1">
      <c r="A93" s="1072"/>
      <c r="B93" s="952"/>
      <c r="C93" s="1080"/>
      <c r="D93" s="952"/>
      <c r="E93" s="953" t="s">
        <v>37</v>
      </c>
      <c r="F93" s="952"/>
      <c r="G93" s="1073"/>
      <c r="H93" s="1081" t="s">
        <v>12</v>
      </c>
      <c r="I93" s="1082"/>
      <c r="J93" s="1082"/>
      <c r="K93" s="1083"/>
      <c r="L93" s="957">
        <f ca="1">IFERROR(__xludf.DUMMYFUNCTION("IMPORTRANGE(""https://docs.google.com/spreadsheets/d/1MeEWN-I1oV_STSDYn1IFDPWt_1FKiwhDph83XaGc0o0/edit?usp=sharing"",""งบพรบ!AQ62"")"),174200)</f>
        <v>174200</v>
      </c>
      <c r="M93" s="957">
        <f ca="1">IFERROR(__xludf.DUMMYFUNCTION("IMPORTRANGE(""https://docs.google.com/spreadsheets/d/1MeEWN-I1oV_STSDYn1IFDPWt_1FKiwhDph83XaGc0o0/edit?usp=sharing"",""งบพรบ!AV62"")"),133350)</f>
        <v>133350</v>
      </c>
      <c r="N93" s="957">
        <f ca="1">IFERROR(__xludf.DUMMYFUNCTION("IMPORTRANGE(""https://docs.google.com/spreadsheets/d/1MeEWN-I1oV_STSDYn1IFDPWt_1FKiwhDph83XaGc0o0/edit?usp=sharing"",""งบพรบ!AX62"")"),107051.13)</f>
        <v>107051.13</v>
      </c>
      <c r="O93" s="957">
        <f t="shared" ca="1" si="50"/>
        <v>61.453002296211253</v>
      </c>
      <c r="P93" s="957">
        <f t="shared" ca="1" si="51"/>
        <v>80.278312710911138</v>
      </c>
      <c r="Q93" s="943"/>
      <c r="R93" s="943"/>
      <c r="S93" s="943"/>
      <c r="T93" s="943"/>
      <c r="U93" s="943"/>
      <c r="V93" s="943"/>
      <c r="W93" s="943"/>
      <c r="X93" s="943"/>
      <c r="Y93" s="943"/>
      <c r="Z93" s="943"/>
    </row>
    <row r="94" spans="1:26" ht="18.75">
      <c r="A94" s="1075"/>
      <c r="B94" s="945"/>
      <c r="C94" s="1076"/>
      <c r="D94" s="946" t="s">
        <v>21</v>
      </c>
      <c r="E94" s="945"/>
      <c r="F94" s="945"/>
      <c r="G94" s="947"/>
      <c r="H94" s="1084" t="s">
        <v>12</v>
      </c>
      <c r="I94" s="1078"/>
      <c r="J94" s="1078"/>
      <c r="K94" s="1079"/>
      <c r="L94" s="950">
        <f t="shared" ref="L94:N94" ca="1" si="54">L95+L96</f>
        <v>0</v>
      </c>
      <c r="M94" s="950">
        <f t="shared" ca="1" si="54"/>
        <v>0</v>
      </c>
      <c r="N94" s="950">
        <f t="shared" ca="1" si="54"/>
        <v>0</v>
      </c>
      <c r="O94" s="950">
        <f t="shared" ca="1" si="50"/>
        <v>0</v>
      </c>
      <c r="P94" s="950">
        <f t="shared" ca="1" si="51"/>
        <v>0</v>
      </c>
      <c r="Q94" s="935"/>
      <c r="R94" s="935"/>
      <c r="S94" s="935"/>
      <c r="T94" s="935"/>
      <c r="U94" s="935"/>
      <c r="V94" s="935"/>
      <c r="W94" s="935"/>
      <c r="X94" s="935"/>
      <c r="Y94" s="935"/>
      <c r="Z94" s="935"/>
    </row>
    <row r="95" spans="1:26" ht="19.5" hidden="1">
      <c r="A95" s="1072"/>
      <c r="B95" s="952"/>
      <c r="C95" s="1080"/>
      <c r="D95" s="952"/>
      <c r="E95" s="953" t="s">
        <v>18</v>
      </c>
      <c r="F95" s="952"/>
      <c r="G95" s="1073"/>
      <c r="H95" s="1081" t="s">
        <v>12</v>
      </c>
      <c r="I95" s="1082"/>
      <c r="J95" s="1082"/>
      <c r="K95" s="1083"/>
      <c r="L95" s="957">
        <v>0</v>
      </c>
      <c r="M95" s="957">
        <v>0</v>
      </c>
      <c r="N95" s="957">
        <v>0</v>
      </c>
      <c r="O95" s="957">
        <f t="shared" si="50"/>
        <v>0</v>
      </c>
      <c r="P95" s="957">
        <f t="shared" si="51"/>
        <v>0</v>
      </c>
      <c r="Q95" s="943"/>
      <c r="R95" s="943"/>
      <c r="S95" s="943"/>
      <c r="T95" s="943"/>
      <c r="U95" s="943"/>
      <c r="V95" s="943"/>
      <c r="W95" s="943"/>
      <c r="X95" s="943"/>
      <c r="Y95" s="943"/>
      <c r="Z95" s="943"/>
    </row>
    <row r="96" spans="1:26" ht="19.5" hidden="1">
      <c r="A96" s="1072"/>
      <c r="B96" s="952"/>
      <c r="C96" s="1080"/>
      <c r="D96" s="952"/>
      <c r="E96" s="953" t="s">
        <v>19</v>
      </c>
      <c r="F96" s="952"/>
      <c r="G96" s="1073"/>
      <c r="H96" s="1085" t="s">
        <v>12</v>
      </c>
      <c r="I96" s="1082"/>
      <c r="J96" s="1082"/>
      <c r="K96" s="1083"/>
      <c r="L96" s="957">
        <f ca="1">IFERROR(__xludf.DUMMYFUNCTION("IMPORTRANGE(""https://docs.google.com/spreadsheets/d/1MeEWN-I1oV_STSDYn1IFDPWt_1FKiwhDph83XaGc0o0/edit?usp=sharing"",""งบพรบ!AT62"")"),0)</f>
        <v>0</v>
      </c>
      <c r="M96" s="957">
        <f ca="1">IFERROR(__xludf.DUMMYFUNCTION("IMPORTRANGE(""https://docs.google.com/spreadsheets/d/1MeEWN-I1oV_STSDYn1IFDPWt_1FKiwhDph83XaGc0o0/edit?usp=sharing"",""งบพรบ!AW62"")"),0)</f>
        <v>0</v>
      </c>
      <c r="N96" s="957">
        <f ca="1">IFERROR(__xludf.DUMMYFUNCTION("IMPORTRANGE(""https://docs.google.com/spreadsheets/d/1MeEWN-I1oV_STSDYn1IFDPWt_1FKiwhDph83XaGc0o0/edit?usp=sharing"",""งบพรบ!AY62"")"),0)</f>
        <v>0</v>
      </c>
      <c r="O96" s="957">
        <f t="shared" ca="1" si="50"/>
        <v>0</v>
      </c>
      <c r="P96" s="957">
        <f t="shared" ca="1" si="51"/>
        <v>0</v>
      </c>
      <c r="Q96" s="943"/>
      <c r="R96" s="943"/>
      <c r="S96" s="943"/>
      <c r="T96" s="943"/>
      <c r="U96" s="943"/>
      <c r="V96" s="943"/>
      <c r="W96" s="943"/>
      <c r="X96" s="943"/>
      <c r="Y96" s="943"/>
      <c r="Z96" s="943"/>
    </row>
    <row r="97" spans="1:16" ht="19.5">
      <c r="A97" s="1086"/>
      <c r="B97" s="1087"/>
      <c r="C97" s="1080" t="s">
        <v>16</v>
      </c>
      <c r="D97" s="1088" t="s">
        <v>38</v>
      </c>
      <c r="E97" s="1089"/>
      <c r="F97" s="1089"/>
      <c r="G97" s="1090"/>
      <c r="H97" s="1091"/>
      <c r="I97" s="1078"/>
      <c r="J97" s="949"/>
      <c r="K97" s="950"/>
      <c r="L97" s="950"/>
      <c r="M97" s="950"/>
      <c r="N97" s="950"/>
      <c r="O97" s="1079"/>
      <c r="P97" s="1079"/>
    </row>
    <row r="98" spans="1:16" ht="18.75">
      <c r="A98" s="1086"/>
      <c r="B98" s="1087"/>
      <c r="C98" s="1087"/>
      <c r="D98" s="1093" t="s">
        <v>47</v>
      </c>
      <c r="E98" s="1093"/>
      <c r="F98" s="1094"/>
      <c r="G98" s="1095"/>
      <c r="H98" s="948" t="s">
        <v>46</v>
      </c>
      <c r="I98" s="949">
        <f ca="1">IFERROR(__xludf.DUMMYFUNCTION("IMPORTRANGE(""https://docs.google.com/spreadsheets/d/1QqKyyYR6Q21VydFLVH3TRQUabQu_ym0Zz7PgGX0-kHA/edit?usp=sharing"",""แผน!K62"")"),0)</f>
        <v>0</v>
      </c>
      <c r="J98" s="949">
        <f>J102</f>
        <v>0</v>
      </c>
      <c r="K98" s="950">
        <f t="shared" ref="K98:K100" ca="1" si="55">IF(I98&gt;0,J98*100/I98,0)</f>
        <v>0</v>
      </c>
      <c r="L98" s="950"/>
      <c r="M98" s="950"/>
      <c r="N98" s="950"/>
      <c r="O98" s="1079"/>
      <c r="P98" s="1079"/>
    </row>
    <row r="99" spans="1:16" ht="18.75">
      <c r="A99" s="1086"/>
      <c r="B99" s="1087"/>
      <c r="C99" s="1087"/>
      <c r="D99" s="1093" t="s">
        <v>48</v>
      </c>
      <c r="E99" s="1093"/>
      <c r="F99" s="1094"/>
      <c r="G99" s="1095"/>
      <c r="H99" s="948" t="s">
        <v>35</v>
      </c>
      <c r="I99" s="949">
        <f ca="1">IFERROR(__xludf.DUMMYFUNCTION("IMPORTRANGE(""https://docs.google.com/spreadsheets/d/1QqKyyYR6Q21VydFLVH3TRQUabQu_ym0Zz7PgGX0-kHA/edit?usp=sharing"",""แผน!L62"")"),0)</f>
        <v>0</v>
      </c>
      <c r="J99" s="949">
        <f>J104</f>
        <v>0</v>
      </c>
      <c r="K99" s="950">
        <f t="shared" ca="1" si="55"/>
        <v>0</v>
      </c>
      <c r="L99" s="950"/>
      <c r="M99" s="950"/>
      <c r="N99" s="950"/>
      <c r="O99" s="1079"/>
      <c r="P99" s="1079"/>
    </row>
    <row r="100" spans="1:16" ht="18.75">
      <c r="A100" s="1086"/>
      <c r="B100" s="1087"/>
      <c r="C100" s="1087"/>
      <c r="D100" s="1087"/>
      <c r="E100" s="1094"/>
      <c r="F100" s="1094"/>
      <c r="G100" s="1095"/>
      <c r="H100" s="948" t="s">
        <v>49</v>
      </c>
      <c r="I100" s="949">
        <f ca="1">IFERROR(__xludf.DUMMYFUNCTION("IMPORTRANGE(""https://docs.google.com/spreadsheets/d/1QqKyyYR6Q21VydFLVH3TRQUabQu_ym0Zz7PgGX0-kHA/edit?usp=sharing"",""แผน!M62"")"),1)</f>
        <v>1</v>
      </c>
      <c r="J100" s="949">
        <f>J107+J110</f>
        <v>1</v>
      </c>
      <c r="K100" s="950">
        <f t="shared" ca="1" si="55"/>
        <v>100</v>
      </c>
      <c r="L100" s="950"/>
      <c r="M100" s="950"/>
      <c r="N100" s="950"/>
      <c r="O100" s="1079"/>
      <c r="P100" s="1079"/>
    </row>
    <row r="101" spans="1:16" ht="19.5">
      <c r="A101" s="1086"/>
      <c r="B101" s="1087"/>
      <c r="C101" s="1087"/>
      <c r="D101" s="1094"/>
      <c r="E101" s="1100" t="s">
        <v>50</v>
      </c>
      <c r="F101" s="1094"/>
      <c r="G101" s="1095"/>
      <c r="H101" s="948"/>
      <c r="I101" s="949"/>
      <c r="J101" s="949"/>
      <c r="K101" s="950"/>
      <c r="L101" s="950"/>
      <c r="M101" s="950"/>
      <c r="N101" s="950"/>
      <c r="O101" s="1079"/>
      <c r="P101" s="1079"/>
    </row>
    <row r="102" spans="1:16" ht="18.75">
      <c r="A102" s="1086"/>
      <c r="B102" s="1087"/>
      <c r="C102" s="1087"/>
      <c r="D102" s="1094"/>
      <c r="E102" s="1101" t="s">
        <v>47</v>
      </c>
      <c r="F102" s="1094"/>
      <c r="G102" s="1095"/>
      <c r="H102" s="948" t="s">
        <v>46</v>
      </c>
      <c r="I102" s="949">
        <f ca="1">IFERROR(__xludf.DUMMYFUNCTION("IMPORTRANGE(""https://docs.google.com/spreadsheets/d/1QqKyyYR6Q21VydFLVH3TRQUabQu_ym0Zz7PgGX0-kHA/edit?usp=sharing"",""แผน!N62"")"),0)</f>
        <v>0</v>
      </c>
      <c r="J102" s="1098">
        <v>0</v>
      </c>
      <c r="K102" s="950">
        <f t="shared" ref="K102:K104" ca="1" si="56">IF(I102&gt;0,J102*100/I102,0)</f>
        <v>0</v>
      </c>
      <c r="L102" s="950"/>
      <c r="M102" s="950"/>
      <c r="N102" s="950"/>
      <c r="O102" s="1079"/>
      <c r="P102" s="1079"/>
    </row>
    <row r="103" spans="1:16" ht="19.5">
      <c r="A103" s="1086"/>
      <c r="B103" s="1087"/>
      <c r="C103" s="1087"/>
      <c r="D103" s="1094"/>
      <c r="E103" s="1093" t="s">
        <v>349</v>
      </c>
      <c r="F103" s="1094"/>
      <c r="G103" s="1095"/>
      <c r="H103" s="948" t="s">
        <v>35</v>
      </c>
      <c r="I103" s="949">
        <f ca="1">IFERROR(__xludf.DUMMYFUNCTION("IMPORTRANGE(""https://docs.google.com/spreadsheets/d/1QqKyyYR6Q21VydFLVH3TRQUabQu_ym0Zz7PgGX0-kHA/edit?usp=sharing"",""แผน!O62"")"),0)</f>
        <v>0</v>
      </c>
      <c r="J103" s="1098">
        <v>0</v>
      </c>
      <c r="K103" s="950">
        <f t="shared" ca="1" si="56"/>
        <v>0</v>
      </c>
      <c r="L103" s="950"/>
      <c r="M103" s="950"/>
      <c r="N103" s="950"/>
      <c r="O103" s="1079"/>
      <c r="P103" s="1079"/>
    </row>
    <row r="104" spans="1:16" ht="18.75">
      <c r="A104" s="1086"/>
      <c r="B104" s="1087"/>
      <c r="C104" s="1087"/>
      <c r="D104" s="1094"/>
      <c r="E104" s="1102" t="s">
        <v>350</v>
      </c>
      <c r="F104" s="1094"/>
      <c r="G104" s="1095"/>
      <c r="H104" s="948" t="s">
        <v>35</v>
      </c>
      <c r="I104" s="949">
        <f ca="1">IFERROR(__xludf.DUMMYFUNCTION("IMPORTRANGE(""https://docs.google.com/spreadsheets/d/1QqKyyYR6Q21VydFLVH3TRQUabQu_ym0Zz7PgGX0-kHA/edit?usp=sharing"",""แผน!O62"")"),0)</f>
        <v>0</v>
      </c>
      <c r="J104" s="1098">
        <v>0</v>
      </c>
      <c r="K104" s="950">
        <f t="shared" ca="1" si="56"/>
        <v>0</v>
      </c>
      <c r="L104" s="950"/>
      <c r="M104" s="950"/>
      <c r="N104" s="950"/>
      <c r="O104" s="1079"/>
      <c r="P104" s="1079"/>
    </row>
    <row r="105" spans="1:16" ht="19.5">
      <c r="A105" s="1086"/>
      <c r="B105" s="1087"/>
      <c r="C105" s="1087"/>
      <c r="D105" s="1094"/>
      <c r="E105" s="1100" t="s">
        <v>53</v>
      </c>
      <c r="F105" s="1094"/>
      <c r="G105" s="1095"/>
      <c r="H105" s="1103"/>
      <c r="I105" s="949"/>
      <c r="J105" s="949"/>
      <c r="K105" s="950"/>
      <c r="L105" s="950"/>
      <c r="M105" s="950"/>
      <c r="N105" s="950"/>
      <c r="O105" s="1079"/>
      <c r="P105" s="1079"/>
    </row>
    <row r="106" spans="1:16" ht="19.5">
      <c r="A106" s="1086"/>
      <c r="B106" s="1087"/>
      <c r="C106" s="1087"/>
      <c r="D106" s="1094"/>
      <c r="E106" s="1093" t="s">
        <v>351</v>
      </c>
      <c r="F106" s="1094"/>
      <c r="G106" s="1095"/>
      <c r="H106" s="948" t="s">
        <v>49</v>
      </c>
      <c r="I106" s="949">
        <f ca="1">IFERROR(__xludf.DUMMYFUNCTION("IMPORTRANGE(""https://docs.google.com/spreadsheets/d/1QqKyyYR6Q21VydFLVH3TRQUabQu_ym0Zz7PgGX0-kHA/edit?usp=sharing"",""แผน!P62"")"),0)</f>
        <v>0</v>
      </c>
      <c r="J106" s="1098">
        <v>0</v>
      </c>
      <c r="K106" s="950">
        <f t="shared" ref="K106:K107" ca="1" si="57">IF(I106&gt;0,J106*100/I106,0)</f>
        <v>0</v>
      </c>
      <c r="L106" s="950"/>
      <c r="M106" s="950"/>
      <c r="N106" s="950"/>
      <c r="O106" s="1079"/>
      <c r="P106" s="1079"/>
    </row>
    <row r="107" spans="1:16" ht="18.75">
      <c r="A107" s="1086"/>
      <c r="B107" s="1087"/>
      <c r="C107" s="1087"/>
      <c r="D107" s="1094"/>
      <c r="E107" s="1102" t="s">
        <v>352</v>
      </c>
      <c r="F107" s="1094"/>
      <c r="G107" s="1095"/>
      <c r="H107" s="948" t="s">
        <v>49</v>
      </c>
      <c r="I107" s="949">
        <f ca="1">IFERROR(__xludf.DUMMYFUNCTION("IMPORTRANGE(""https://docs.google.com/spreadsheets/d/1QqKyyYR6Q21VydFLVH3TRQUabQu_ym0Zz7PgGX0-kHA/edit?usp=sharing"",""แผน!P62"")"),0)</f>
        <v>0</v>
      </c>
      <c r="J107" s="1098">
        <v>0</v>
      </c>
      <c r="K107" s="950">
        <f t="shared" ca="1" si="57"/>
        <v>0</v>
      </c>
      <c r="L107" s="950"/>
      <c r="M107" s="950"/>
      <c r="N107" s="950"/>
      <c r="O107" s="1079"/>
      <c r="P107" s="1079"/>
    </row>
    <row r="108" spans="1:16" ht="19.5">
      <c r="A108" s="1086"/>
      <c r="B108" s="1087"/>
      <c r="C108" s="1087"/>
      <c r="D108" s="1094"/>
      <c r="E108" s="1100" t="s">
        <v>56</v>
      </c>
      <c r="F108" s="1094"/>
      <c r="G108" s="1095"/>
      <c r="H108" s="1103"/>
      <c r="I108" s="949"/>
      <c r="J108" s="949"/>
      <c r="K108" s="950"/>
      <c r="L108" s="950"/>
      <c r="M108" s="950"/>
      <c r="N108" s="950"/>
      <c r="O108" s="1079"/>
      <c r="P108" s="1079"/>
    </row>
    <row r="109" spans="1:16" ht="19.5">
      <c r="A109" s="1086"/>
      <c r="B109" s="1087"/>
      <c r="C109" s="1087"/>
      <c r="D109" s="1094"/>
      <c r="E109" s="1093" t="s">
        <v>353</v>
      </c>
      <c r="F109" s="1094"/>
      <c r="G109" s="1095"/>
      <c r="H109" s="948" t="s">
        <v>49</v>
      </c>
      <c r="I109" s="949">
        <f ca="1">IFERROR(__xludf.DUMMYFUNCTION("IMPORTRANGE(""https://docs.google.com/spreadsheets/d/1QqKyyYR6Q21VydFLVH3TRQUabQu_ym0Zz7PgGX0-kHA/edit?usp=sharing"",""แผน!Q62"")"),1)</f>
        <v>1</v>
      </c>
      <c r="J109" s="1098">
        <v>1</v>
      </c>
      <c r="K109" s="950">
        <f t="shared" ref="K109:K116" ca="1" si="58">IF(I109&gt;0,J109*100/I109,0)</f>
        <v>100</v>
      </c>
      <c r="L109" s="950"/>
      <c r="M109" s="950"/>
      <c r="N109" s="950"/>
      <c r="O109" s="1079"/>
      <c r="P109" s="1079"/>
    </row>
    <row r="110" spans="1:16" ht="18.75">
      <c r="A110" s="1086"/>
      <c r="B110" s="1087"/>
      <c r="C110" s="1087"/>
      <c r="D110" s="1094"/>
      <c r="E110" s="1104" t="s">
        <v>354</v>
      </c>
      <c r="F110" s="1094"/>
      <c r="G110" s="1095"/>
      <c r="H110" s="948" t="s">
        <v>49</v>
      </c>
      <c r="I110" s="949">
        <f ca="1">IFERROR(__xludf.DUMMYFUNCTION("IMPORTRANGE(""https://docs.google.com/spreadsheets/d/1QqKyyYR6Q21VydFLVH3TRQUabQu_ym0Zz7PgGX0-kHA/edit?usp=sharing"",""แผน!Q62"")"),1)</f>
        <v>1</v>
      </c>
      <c r="J110" s="1098">
        <v>1</v>
      </c>
      <c r="K110" s="950">
        <f t="shared" ca="1" si="58"/>
        <v>100</v>
      </c>
      <c r="L110" s="950"/>
      <c r="M110" s="950"/>
      <c r="N110" s="950"/>
      <c r="O110" s="1079"/>
      <c r="P110" s="1079"/>
    </row>
    <row r="111" spans="1:16" ht="19.5">
      <c r="A111" s="1086"/>
      <c r="B111" s="1087"/>
      <c r="C111" s="1087"/>
      <c r="D111" s="1100" t="s">
        <v>59</v>
      </c>
      <c r="E111" s="1100"/>
      <c r="F111" s="1094"/>
      <c r="G111" s="1095"/>
      <c r="H111" s="1105" t="s">
        <v>35</v>
      </c>
      <c r="I111" s="1106">
        <f ca="1">IFERROR(__xludf.DUMMYFUNCTION("IMPORTRANGE(""https://docs.google.com/spreadsheets/d/1QqKyyYR6Q21VydFLVH3TRQUabQu_ym0Zz7PgGX0-kHA/edit?usp=sharing"",""แผน!R62"")"),0)</f>
        <v>0</v>
      </c>
      <c r="J111" s="1107">
        <f>J114</f>
        <v>0</v>
      </c>
      <c r="K111" s="1108">
        <f t="shared" ca="1" si="58"/>
        <v>0</v>
      </c>
      <c r="L111" s="950"/>
      <c r="M111" s="950"/>
      <c r="N111" s="950"/>
      <c r="O111" s="1079"/>
      <c r="P111" s="1079"/>
    </row>
    <row r="112" spans="1:16" ht="19.5">
      <c r="A112" s="1086"/>
      <c r="B112" s="1087"/>
      <c r="C112" s="1087"/>
      <c r="D112" s="1087"/>
      <c r="E112" s="1094"/>
      <c r="F112" s="1094"/>
      <c r="G112" s="1095"/>
      <c r="H112" s="1109" t="s">
        <v>49</v>
      </c>
      <c r="I112" s="1106">
        <f t="shared" ref="I112:J112" ca="1" si="59">I115+I116</f>
        <v>1</v>
      </c>
      <c r="J112" s="1107">
        <f t="shared" si="59"/>
        <v>0</v>
      </c>
      <c r="K112" s="1108">
        <f t="shared" ca="1" si="58"/>
        <v>0</v>
      </c>
      <c r="L112" s="950"/>
      <c r="M112" s="950"/>
      <c r="N112" s="950"/>
      <c r="O112" s="1079"/>
      <c r="P112" s="1079"/>
    </row>
    <row r="113" spans="1:26" ht="19.5">
      <c r="A113" s="1086"/>
      <c r="B113" s="1087"/>
      <c r="C113" s="1087"/>
      <c r="D113" s="1087"/>
      <c r="E113" s="1110" t="s">
        <v>355</v>
      </c>
      <c r="F113" s="1094"/>
      <c r="G113" s="1095"/>
      <c r="H113" s="1111" t="s">
        <v>35</v>
      </c>
      <c r="I113" s="1078">
        <f ca="1">IFERROR(__xludf.DUMMYFUNCTION("IMPORTRANGE(""https://docs.google.com/spreadsheets/d/1QqKyyYR6Q21VydFLVH3TRQUabQu_ym0Zz7PgGX0-kHA/edit?usp=sharing"",""แผน!R62"")"),0)</f>
        <v>0</v>
      </c>
      <c r="J113" s="1098">
        <v>0</v>
      </c>
      <c r="K113" s="950">
        <f t="shared" ca="1" si="58"/>
        <v>0</v>
      </c>
      <c r="L113" s="950"/>
      <c r="M113" s="950"/>
      <c r="N113" s="950"/>
      <c r="O113" s="1079"/>
      <c r="P113" s="1079"/>
    </row>
    <row r="114" spans="1:26" ht="19.5">
      <c r="A114" s="1086"/>
      <c r="B114" s="1087"/>
      <c r="C114" s="1087"/>
      <c r="D114" s="1087"/>
      <c r="E114" s="1093" t="s">
        <v>356</v>
      </c>
      <c r="F114" s="1094"/>
      <c r="G114" s="1095"/>
      <c r="H114" s="1112" t="s">
        <v>35</v>
      </c>
      <c r="I114" s="1078">
        <f ca="1">IFERROR(__xludf.DUMMYFUNCTION("IMPORTRANGE(""https://docs.google.com/spreadsheets/d/1QqKyyYR6Q21VydFLVH3TRQUabQu_ym0Zz7PgGX0-kHA/edit?usp=sharing"",""แผน!R62"")"),0)</f>
        <v>0</v>
      </c>
      <c r="J114" s="1098">
        <v>0</v>
      </c>
      <c r="K114" s="950">
        <f t="shared" ca="1" si="58"/>
        <v>0</v>
      </c>
      <c r="L114" s="950"/>
      <c r="M114" s="950"/>
      <c r="N114" s="950"/>
      <c r="O114" s="1079"/>
      <c r="P114" s="1079"/>
    </row>
    <row r="115" spans="1:26" ht="18.75">
      <c r="A115" s="1086"/>
      <c r="B115" s="1087"/>
      <c r="C115" s="1087"/>
      <c r="D115" s="1087"/>
      <c r="E115" s="1093" t="s">
        <v>62</v>
      </c>
      <c r="F115" s="1094"/>
      <c r="G115" s="1095"/>
      <c r="H115" s="1112" t="s">
        <v>49</v>
      </c>
      <c r="I115" s="1078">
        <f ca="1">IFERROR(__xludf.DUMMYFUNCTION("IMPORTRANGE(""https://docs.google.com/spreadsheets/d/1QqKyyYR6Q21VydFLVH3TRQUabQu_ym0Zz7PgGX0-kHA/edit?usp=sharing"",""แผน!S62"")"),0)</f>
        <v>0</v>
      </c>
      <c r="J115" s="1098">
        <v>0</v>
      </c>
      <c r="K115" s="950">
        <f t="shared" ca="1" si="58"/>
        <v>0</v>
      </c>
      <c r="L115" s="950"/>
      <c r="M115" s="950"/>
      <c r="N115" s="950"/>
      <c r="O115" s="1079"/>
      <c r="P115" s="1079"/>
    </row>
    <row r="116" spans="1:26" ht="18.75">
      <c r="A116" s="1086"/>
      <c r="B116" s="1087"/>
      <c r="C116" s="1087"/>
      <c r="D116" s="1087"/>
      <c r="E116" s="1093" t="s">
        <v>63</v>
      </c>
      <c r="F116" s="1094"/>
      <c r="G116" s="1095"/>
      <c r="H116" s="1112" t="s">
        <v>49</v>
      </c>
      <c r="I116" s="1078">
        <f ca="1">IFERROR(__xludf.DUMMYFUNCTION("IMPORTRANGE(""https://docs.google.com/spreadsheets/d/1QqKyyYR6Q21VydFLVH3TRQUabQu_ym0Zz7PgGX0-kHA/edit?usp=sharing"",""แผน!T62"")"),1)</f>
        <v>1</v>
      </c>
      <c r="J116" s="1098">
        <v>0</v>
      </c>
      <c r="K116" s="950">
        <f t="shared" ca="1" si="58"/>
        <v>0</v>
      </c>
      <c r="L116" s="950"/>
      <c r="M116" s="950"/>
      <c r="N116" s="950"/>
      <c r="O116" s="1079"/>
      <c r="P116" s="1079"/>
    </row>
    <row r="117" spans="1:26" ht="19.5" hidden="1">
      <c r="A117" s="1047" t="s">
        <v>64</v>
      </c>
      <c r="B117" s="1048"/>
      <c r="C117" s="1113"/>
      <c r="D117" s="1048"/>
      <c r="E117" s="1048"/>
      <c r="F117" s="1048"/>
      <c r="G117" s="1048"/>
      <c r="H117" s="1114"/>
      <c r="I117" s="1115"/>
      <c r="J117" s="1115"/>
      <c r="K117" s="1116"/>
      <c r="L117" s="1053"/>
      <c r="M117" s="1053"/>
      <c r="N117" s="1053"/>
      <c r="O117" s="1053"/>
      <c r="P117" s="1053"/>
    </row>
    <row r="118" spans="1:26" ht="19.5" hidden="1">
      <c r="A118" s="1054"/>
      <c r="B118" s="1055" t="s">
        <v>65</v>
      </c>
      <c r="C118" s="1117"/>
      <c r="D118" s="1057"/>
      <c r="E118" s="1056"/>
      <c r="F118" s="1056"/>
      <c r="G118" s="1058"/>
      <c r="H118" s="1059"/>
      <c r="I118" s="1118">
        <v>0</v>
      </c>
      <c r="J118" s="1118">
        <v>0</v>
      </c>
      <c r="K118" s="1062">
        <v>0</v>
      </c>
      <c r="L118" s="1062"/>
      <c r="M118" s="1062"/>
      <c r="N118" s="1062"/>
      <c r="O118" s="1062"/>
      <c r="P118" s="1062"/>
    </row>
    <row r="119" spans="1:26" ht="19.5" hidden="1">
      <c r="A119" s="1063"/>
      <c r="B119" s="1064"/>
      <c r="C119" s="1065" t="s">
        <v>16</v>
      </c>
      <c r="D119" s="1066" t="s">
        <v>17</v>
      </c>
      <c r="E119" s="1064"/>
      <c r="F119" s="1064"/>
      <c r="G119" s="1067"/>
      <c r="H119" s="1068" t="s">
        <v>12</v>
      </c>
      <c r="I119" s="1069"/>
      <c r="J119" s="1069"/>
      <c r="K119" s="1070"/>
      <c r="L119" s="1071">
        <f t="shared" ref="L119:N119" ca="1" si="60">L120+L121</f>
        <v>0</v>
      </c>
      <c r="M119" s="1071">
        <f t="shared" ca="1" si="60"/>
        <v>0</v>
      </c>
      <c r="N119" s="1071">
        <f t="shared" ca="1" si="60"/>
        <v>0</v>
      </c>
      <c r="O119" s="1071">
        <f t="shared" ref="O119:O127" ca="1" si="61">IF(L119&gt;0,N119*100/L119,0)</f>
        <v>0</v>
      </c>
      <c r="P119" s="1071">
        <f t="shared" ref="P119:P127" ca="1" si="62">IF(M119&gt;0,N119*100/M119,0)</f>
        <v>0</v>
      </c>
      <c r="Q119" s="935"/>
      <c r="R119" s="935"/>
      <c r="S119" s="935"/>
      <c r="T119" s="935"/>
      <c r="U119" s="935"/>
      <c r="V119" s="935"/>
      <c r="W119" s="935"/>
      <c r="X119" s="935"/>
      <c r="Y119" s="935"/>
      <c r="Z119" s="935"/>
    </row>
    <row r="120" spans="1:26" ht="18.75" hidden="1">
      <c r="A120" s="1072"/>
      <c r="B120" s="952"/>
      <c r="C120" s="952"/>
      <c r="D120" s="952"/>
      <c r="E120" s="953" t="s">
        <v>18</v>
      </c>
      <c r="F120" s="952"/>
      <c r="G120" s="1073"/>
      <c r="H120" s="1074" t="s">
        <v>12</v>
      </c>
      <c r="I120" s="956"/>
      <c r="J120" s="956"/>
      <c r="K120" s="957"/>
      <c r="L120" s="957">
        <f t="shared" ref="L120:N121" si="63">L123+L126</f>
        <v>0</v>
      </c>
      <c r="M120" s="957">
        <f t="shared" si="63"/>
        <v>0</v>
      </c>
      <c r="N120" s="957">
        <f t="shared" si="63"/>
        <v>0</v>
      </c>
      <c r="O120" s="957">
        <f t="shared" si="61"/>
        <v>0</v>
      </c>
      <c r="P120" s="957">
        <f t="shared" si="62"/>
        <v>0</v>
      </c>
      <c r="Q120" s="943"/>
      <c r="R120" s="943"/>
      <c r="S120" s="943"/>
      <c r="T120" s="943"/>
      <c r="U120" s="943"/>
      <c r="V120" s="943"/>
      <c r="W120" s="943"/>
      <c r="X120" s="943"/>
      <c r="Y120" s="943"/>
      <c r="Z120" s="943"/>
    </row>
    <row r="121" spans="1:26" ht="18.75" hidden="1">
      <c r="A121" s="1072"/>
      <c r="B121" s="952"/>
      <c r="C121" s="952"/>
      <c r="D121" s="952"/>
      <c r="E121" s="953" t="s">
        <v>19</v>
      </c>
      <c r="F121" s="952"/>
      <c r="G121" s="1073"/>
      <c r="H121" s="1074" t="s">
        <v>12</v>
      </c>
      <c r="I121" s="956"/>
      <c r="J121" s="956"/>
      <c r="K121" s="957"/>
      <c r="L121" s="957">
        <f t="shared" ca="1" si="63"/>
        <v>0</v>
      </c>
      <c r="M121" s="957">
        <f t="shared" ca="1" si="63"/>
        <v>0</v>
      </c>
      <c r="N121" s="957">
        <f t="shared" ca="1" si="63"/>
        <v>0</v>
      </c>
      <c r="O121" s="957">
        <f t="shared" ca="1" si="61"/>
        <v>0</v>
      </c>
      <c r="P121" s="957">
        <f t="shared" ca="1" si="62"/>
        <v>0</v>
      </c>
      <c r="Q121" s="943"/>
      <c r="R121" s="943"/>
      <c r="S121" s="943"/>
      <c r="T121" s="943"/>
      <c r="U121" s="943"/>
      <c r="V121" s="943"/>
      <c r="W121" s="943"/>
      <c r="X121" s="943"/>
      <c r="Y121" s="943"/>
      <c r="Z121" s="943"/>
    </row>
    <row r="122" spans="1:26" ht="18.75" hidden="1">
      <c r="A122" s="1075"/>
      <c r="B122" s="945"/>
      <c r="C122" s="1076"/>
      <c r="D122" s="946" t="s">
        <v>20</v>
      </c>
      <c r="E122" s="945"/>
      <c r="F122" s="945"/>
      <c r="G122" s="947"/>
      <c r="H122" s="1077" t="s">
        <v>12</v>
      </c>
      <c r="I122" s="1078"/>
      <c r="J122" s="1078"/>
      <c r="K122" s="1079"/>
      <c r="L122" s="950">
        <f t="shared" ref="L122:N122" ca="1" si="64">L123+L124</f>
        <v>0</v>
      </c>
      <c r="M122" s="950">
        <f t="shared" ca="1" si="64"/>
        <v>0</v>
      </c>
      <c r="N122" s="950">
        <f t="shared" ca="1" si="64"/>
        <v>0</v>
      </c>
      <c r="O122" s="950">
        <f t="shared" ca="1" si="61"/>
        <v>0</v>
      </c>
      <c r="P122" s="950">
        <f t="shared" ca="1" si="62"/>
        <v>0</v>
      </c>
      <c r="Q122" s="935"/>
      <c r="R122" s="935"/>
      <c r="S122" s="935"/>
      <c r="T122" s="935"/>
      <c r="U122" s="935"/>
      <c r="V122" s="935"/>
      <c r="W122" s="935"/>
      <c r="X122" s="935"/>
      <c r="Y122" s="935"/>
      <c r="Z122" s="935"/>
    </row>
    <row r="123" spans="1:26" ht="18.75" hidden="1">
      <c r="A123" s="1072"/>
      <c r="B123" s="952"/>
      <c r="C123" s="953"/>
      <c r="D123" s="952"/>
      <c r="E123" s="953" t="s">
        <v>36</v>
      </c>
      <c r="F123" s="952"/>
      <c r="G123" s="1073"/>
      <c r="H123" s="1081" t="s">
        <v>12</v>
      </c>
      <c r="I123" s="1082"/>
      <c r="J123" s="1082"/>
      <c r="K123" s="1083"/>
      <c r="L123" s="957">
        <v>0</v>
      </c>
      <c r="M123" s="957">
        <v>0</v>
      </c>
      <c r="N123" s="957">
        <v>0</v>
      </c>
      <c r="O123" s="957">
        <f t="shared" si="61"/>
        <v>0</v>
      </c>
      <c r="P123" s="957">
        <f t="shared" si="62"/>
        <v>0</v>
      </c>
      <c r="Q123" s="943"/>
      <c r="R123" s="943"/>
      <c r="S123" s="943"/>
      <c r="T123" s="943"/>
      <c r="U123" s="943"/>
      <c r="V123" s="943"/>
      <c r="W123" s="943"/>
      <c r="X123" s="943"/>
      <c r="Y123" s="943"/>
      <c r="Z123" s="943"/>
    </row>
    <row r="124" spans="1:26" ht="18.75" hidden="1">
      <c r="A124" s="1072"/>
      <c r="B124" s="952"/>
      <c r="C124" s="953"/>
      <c r="D124" s="952"/>
      <c r="E124" s="953" t="s">
        <v>37</v>
      </c>
      <c r="F124" s="952"/>
      <c r="G124" s="1073"/>
      <c r="H124" s="1081" t="s">
        <v>12</v>
      </c>
      <c r="I124" s="1082"/>
      <c r="J124" s="1082"/>
      <c r="K124" s="1083"/>
      <c r="L124" s="957">
        <f ca="1">IFERROR(__xludf.DUMMYFUNCTION("IMPORTRANGE(""https://docs.google.com/spreadsheets/d/1MeEWN-I1oV_STSDYn1IFDPWt_1FKiwhDph83XaGc0o0/edit?usp=sharing"",""งบพรบ!BA62"")"),0)</f>
        <v>0</v>
      </c>
      <c r="M124" s="957">
        <f ca="1">IFERROR(__xludf.DUMMYFUNCTION("IMPORTRANGE(""https://docs.google.com/spreadsheets/d/1MeEWN-I1oV_STSDYn1IFDPWt_1FKiwhDph83XaGc0o0/edit?usp=sharing"",""งบพรบ!BF62"")"),0)</f>
        <v>0</v>
      </c>
      <c r="N124" s="957">
        <f ca="1">IFERROR(__xludf.DUMMYFUNCTION("IMPORTRANGE(""https://docs.google.com/spreadsheets/d/1MeEWN-I1oV_STSDYn1IFDPWt_1FKiwhDph83XaGc0o0/edit?usp=sharing"",""งบพรบ!BH62"")"),0)</f>
        <v>0</v>
      </c>
      <c r="O124" s="957">
        <f t="shared" ca="1" si="61"/>
        <v>0</v>
      </c>
      <c r="P124" s="957">
        <f t="shared" ca="1" si="62"/>
        <v>0</v>
      </c>
      <c r="Q124" s="943"/>
      <c r="R124" s="943"/>
      <c r="S124" s="943"/>
      <c r="T124" s="943"/>
      <c r="U124" s="943"/>
      <c r="V124" s="943"/>
      <c r="W124" s="943"/>
      <c r="X124" s="943"/>
      <c r="Y124" s="943"/>
      <c r="Z124" s="943"/>
    </row>
    <row r="125" spans="1:26" ht="18.75" hidden="1">
      <c r="A125" s="1075"/>
      <c r="B125" s="945"/>
      <c r="C125" s="1076"/>
      <c r="D125" s="946" t="s">
        <v>21</v>
      </c>
      <c r="E125" s="945"/>
      <c r="F125" s="945"/>
      <c r="G125" s="947"/>
      <c r="H125" s="1084" t="s">
        <v>12</v>
      </c>
      <c r="I125" s="1078"/>
      <c r="J125" s="1078"/>
      <c r="K125" s="1079"/>
      <c r="L125" s="950">
        <f t="shared" ref="L125:N125" ca="1" si="65">L126+L127</f>
        <v>0</v>
      </c>
      <c r="M125" s="950">
        <f t="shared" ca="1" si="65"/>
        <v>0</v>
      </c>
      <c r="N125" s="950">
        <f t="shared" ca="1" si="65"/>
        <v>0</v>
      </c>
      <c r="O125" s="950">
        <f t="shared" ca="1" si="61"/>
        <v>0</v>
      </c>
      <c r="P125" s="950">
        <f t="shared" ca="1" si="62"/>
        <v>0</v>
      </c>
      <c r="Q125" s="935"/>
      <c r="R125" s="935"/>
      <c r="S125" s="935"/>
      <c r="T125" s="935"/>
      <c r="U125" s="935"/>
      <c r="V125" s="935"/>
      <c r="W125" s="935"/>
      <c r="X125" s="935"/>
      <c r="Y125" s="935"/>
      <c r="Z125" s="935"/>
    </row>
    <row r="126" spans="1:26" ht="19.5" hidden="1">
      <c r="A126" s="1072"/>
      <c r="B126" s="952"/>
      <c r="C126" s="1080"/>
      <c r="D126" s="952"/>
      <c r="E126" s="953" t="s">
        <v>18</v>
      </c>
      <c r="F126" s="952"/>
      <c r="G126" s="1073"/>
      <c r="H126" s="1081" t="s">
        <v>12</v>
      </c>
      <c r="I126" s="1082"/>
      <c r="J126" s="1082"/>
      <c r="K126" s="1083"/>
      <c r="L126" s="957">
        <v>0</v>
      </c>
      <c r="M126" s="957">
        <v>0</v>
      </c>
      <c r="N126" s="957">
        <v>0</v>
      </c>
      <c r="O126" s="957">
        <f t="shared" si="61"/>
        <v>0</v>
      </c>
      <c r="P126" s="957">
        <f t="shared" si="62"/>
        <v>0</v>
      </c>
      <c r="Q126" s="943"/>
      <c r="R126" s="943"/>
      <c r="S126" s="943"/>
      <c r="T126" s="943"/>
      <c r="U126" s="943"/>
      <c r="V126" s="943"/>
      <c r="W126" s="943"/>
      <c r="X126" s="943"/>
      <c r="Y126" s="943"/>
      <c r="Z126" s="943"/>
    </row>
    <row r="127" spans="1:26" ht="19.5" hidden="1">
      <c r="A127" s="1072"/>
      <c r="B127" s="952"/>
      <c r="C127" s="1080"/>
      <c r="D127" s="952"/>
      <c r="E127" s="953" t="s">
        <v>19</v>
      </c>
      <c r="F127" s="952"/>
      <c r="G127" s="1073"/>
      <c r="H127" s="1085" t="s">
        <v>12</v>
      </c>
      <c r="I127" s="1082"/>
      <c r="J127" s="1082"/>
      <c r="K127" s="1083"/>
      <c r="L127" s="957">
        <f ca="1">IFERROR(__xludf.DUMMYFUNCTION("IMPORTRANGE(""https://docs.google.com/spreadsheets/d/1MeEWN-I1oV_STSDYn1IFDPWt_1FKiwhDph83XaGc0o0/edit?usp=sharing"",""งบพรบ!BD62"")"),0)</f>
        <v>0</v>
      </c>
      <c r="M127" s="957">
        <f ca="1">IFERROR(__xludf.DUMMYFUNCTION("IMPORTRANGE(""https://docs.google.com/spreadsheets/d/1MeEWN-I1oV_STSDYn1IFDPWt_1FKiwhDph83XaGc0o0/edit?usp=sharing"",""งบพรบ!BG62"")"),0)</f>
        <v>0</v>
      </c>
      <c r="N127" s="957">
        <f ca="1">IFERROR(__xludf.DUMMYFUNCTION("IMPORTRANGE(""https://docs.google.com/spreadsheets/d/1MeEWN-I1oV_STSDYn1IFDPWt_1FKiwhDph83XaGc0o0/edit?usp=sharing"",""งบพรบ!BI62"")"),0)</f>
        <v>0</v>
      </c>
      <c r="O127" s="957">
        <f t="shared" ca="1" si="61"/>
        <v>0</v>
      </c>
      <c r="P127" s="957">
        <f t="shared" ca="1" si="62"/>
        <v>0</v>
      </c>
      <c r="Q127" s="943"/>
      <c r="R127" s="943"/>
      <c r="S127" s="943"/>
      <c r="T127" s="943"/>
      <c r="U127" s="943"/>
      <c r="V127" s="943"/>
      <c r="W127" s="943"/>
      <c r="X127" s="943"/>
      <c r="Y127" s="943"/>
      <c r="Z127" s="943"/>
    </row>
    <row r="128" spans="1:26" ht="19.5" hidden="1">
      <c r="A128" s="1047" t="s">
        <v>67</v>
      </c>
      <c r="B128" s="1048"/>
      <c r="C128" s="1113"/>
      <c r="D128" s="1048"/>
      <c r="E128" s="1048"/>
      <c r="F128" s="1048"/>
      <c r="G128" s="1048"/>
      <c r="H128" s="1114"/>
      <c r="I128" s="1115"/>
      <c r="J128" s="1115"/>
      <c r="K128" s="1116"/>
      <c r="L128" s="1053"/>
      <c r="M128" s="1053"/>
      <c r="N128" s="1053"/>
      <c r="O128" s="1053"/>
      <c r="P128" s="1053"/>
    </row>
    <row r="129" spans="1:26" ht="19.5" hidden="1">
      <c r="A129" s="1054"/>
      <c r="B129" s="1055" t="s">
        <v>68</v>
      </c>
      <c r="C129" s="1117"/>
      <c r="D129" s="1057"/>
      <c r="E129" s="1056"/>
      <c r="F129" s="1056"/>
      <c r="G129" s="1056"/>
      <c r="H129" s="1119"/>
      <c r="I129" s="1118"/>
      <c r="J129" s="1118"/>
      <c r="K129" s="1062"/>
      <c r="L129" s="1062"/>
      <c r="M129" s="1062"/>
      <c r="N129" s="1062"/>
      <c r="O129" s="1062"/>
      <c r="P129" s="1062"/>
    </row>
    <row r="130" spans="1:26" ht="19.5" hidden="1">
      <c r="A130" s="1054"/>
      <c r="B130" s="1055"/>
      <c r="C130" s="1120" t="s">
        <v>69</v>
      </c>
      <c r="D130" s="1057"/>
      <c r="E130" s="1056"/>
      <c r="F130" s="1056"/>
      <c r="G130" s="1058"/>
      <c r="H130" s="1059" t="s">
        <v>66</v>
      </c>
      <c r="I130" s="1060">
        <f t="shared" ref="I130:J130" ca="1" si="66">I146</f>
        <v>0</v>
      </c>
      <c r="J130" s="1060">
        <f t="shared" si="66"/>
        <v>0</v>
      </c>
      <c r="K130" s="1061">
        <f t="shared" ref="K130:K131" ca="1" si="67">IF(I130&gt;0,J130*100/I130,0)</f>
        <v>0</v>
      </c>
      <c r="L130" s="1062"/>
      <c r="M130" s="1062"/>
      <c r="N130" s="1062"/>
      <c r="O130" s="1062"/>
      <c r="P130" s="1062"/>
    </row>
    <row r="131" spans="1:26" ht="19.5" hidden="1">
      <c r="A131" s="1054"/>
      <c r="B131" s="1055"/>
      <c r="C131" s="1120" t="s">
        <v>70</v>
      </c>
      <c r="D131" s="1057"/>
      <c r="E131" s="1056"/>
      <c r="F131" s="1056"/>
      <c r="G131" s="1058"/>
      <c r="H131" s="1059" t="s">
        <v>35</v>
      </c>
      <c r="I131" s="1060">
        <f t="shared" ref="I131:J131" ca="1" si="68">I143</f>
        <v>0</v>
      </c>
      <c r="J131" s="1060">
        <f t="shared" ca="1" si="68"/>
        <v>0</v>
      </c>
      <c r="K131" s="1061">
        <f t="shared" ca="1" si="67"/>
        <v>0</v>
      </c>
      <c r="L131" s="1062"/>
      <c r="M131" s="1062"/>
      <c r="N131" s="1062"/>
      <c r="O131" s="1062"/>
      <c r="P131" s="1062"/>
    </row>
    <row r="132" spans="1:26" ht="19.5" hidden="1">
      <c r="A132" s="1063"/>
      <c r="B132" s="1064"/>
      <c r="C132" s="1065" t="s">
        <v>16</v>
      </c>
      <c r="D132" s="1066" t="s">
        <v>17</v>
      </c>
      <c r="E132" s="1064"/>
      <c r="F132" s="1064"/>
      <c r="G132" s="1067"/>
      <c r="H132" s="1068" t="s">
        <v>12</v>
      </c>
      <c r="I132" s="1069"/>
      <c r="J132" s="1069"/>
      <c r="K132" s="1070"/>
      <c r="L132" s="1071">
        <f t="shared" ref="L132:N132" ca="1" si="69">L133+L134</f>
        <v>0</v>
      </c>
      <c r="M132" s="1071">
        <f t="shared" ca="1" si="69"/>
        <v>0</v>
      </c>
      <c r="N132" s="1071">
        <f t="shared" ca="1" si="69"/>
        <v>0</v>
      </c>
      <c r="O132" s="1071">
        <f t="shared" ref="O132:O140" ca="1" si="70">IF(L132&gt;0,N132*100/L132,0)</f>
        <v>0</v>
      </c>
      <c r="P132" s="1071">
        <f t="shared" ref="P132:P140" ca="1" si="71">IF(M132&gt;0,N132*100/M132,0)</f>
        <v>0</v>
      </c>
      <c r="Q132" s="935"/>
      <c r="R132" s="935"/>
      <c r="S132" s="935"/>
      <c r="T132" s="935"/>
      <c r="U132" s="935"/>
      <c r="V132" s="935"/>
      <c r="W132" s="935"/>
      <c r="X132" s="935"/>
      <c r="Y132" s="935"/>
      <c r="Z132" s="935"/>
    </row>
    <row r="133" spans="1:26" ht="18.75" hidden="1">
      <c r="A133" s="1072"/>
      <c r="B133" s="952"/>
      <c r="C133" s="952"/>
      <c r="D133" s="952"/>
      <c r="E133" s="953" t="s">
        <v>18</v>
      </c>
      <c r="F133" s="952"/>
      <c r="G133" s="1073"/>
      <c r="H133" s="1074" t="s">
        <v>12</v>
      </c>
      <c r="I133" s="956"/>
      <c r="J133" s="956"/>
      <c r="K133" s="957"/>
      <c r="L133" s="957">
        <f t="shared" ref="L133:N134" si="72">L136+L139</f>
        <v>0</v>
      </c>
      <c r="M133" s="957">
        <f t="shared" si="72"/>
        <v>0</v>
      </c>
      <c r="N133" s="957">
        <f t="shared" si="72"/>
        <v>0</v>
      </c>
      <c r="O133" s="957">
        <f t="shared" si="70"/>
        <v>0</v>
      </c>
      <c r="P133" s="957">
        <f t="shared" si="71"/>
        <v>0</v>
      </c>
      <c r="Q133" s="943"/>
      <c r="R133" s="943"/>
      <c r="S133" s="943"/>
      <c r="T133" s="943"/>
      <c r="U133" s="943"/>
      <c r="V133" s="943"/>
      <c r="W133" s="943"/>
      <c r="X133" s="943"/>
      <c r="Y133" s="943"/>
      <c r="Z133" s="943"/>
    </row>
    <row r="134" spans="1:26" ht="18.75" hidden="1">
      <c r="A134" s="1072"/>
      <c r="B134" s="952"/>
      <c r="C134" s="952"/>
      <c r="D134" s="952"/>
      <c r="E134" s="953" t="s">
        <v>19</v>
      </c>
      <c r="F134" s="952"/>
      <c r="G134" s="1073"/>
      <c r="H134" s="1074" t="s">
        <v>12</v>
      </c>
      <c r="I134" s="956"/>
      <c r="J134" s="956"/>
      <c r="K134" s="957"/>
      <c r="L134" s="957">
        <f t="shared" ca="1" si="72"/>
        <v>0</v>
      </c>
      <c r="M134" s="957">
        <f t="shared" ca="1" si="72"/>
        <v>0</v>
      </c>
      <c r="N134" s="957">
        <f t="shared" ca="1" si="72"/>
        <v>0</v>
      </c>
      <c r="O134" s="957">
        <f t="shared" ca="1" si="70"/>
        <v>0</v>
      </c>
      <c r="P134" s="957">
        <f t="shared" ca="1" si="71"/>
        <v>0</v>
      </c>
      <c r="Q134" s="943"/>
      <c r="R134" s="943"/>
      <c r="S134" s="943"/>
      <c r="T134" s="943"/>
      <c r="U134" s="943"/>
      <c r="V134" s="943"/>
      <c r="W134" s="943"/>
      <c r="X134" s="943"/>
      <c r="Y134" s="943"/>
      <c r="Z134" s="943"/>
    </row>
    <row r="135" spans="1:26" ht="18.75" hidden="1">
      <c r="A135" s="1075"/>
      <c r="B135" s="945"/>
      <c r="C135" s="1076"/>
      <c r="D135" s="946" t="s">
        <v>20</v>
      </c>
      <c r="E135" s="945"/>
      <c r="F135" s="945"/>
      <c r="G135" s="947"/>
      <c r="H135" s="1077" t="s">
        <v>12</v>
      </c>
      <c r="I135" s="1078"/>
      <c r="J135" s="1078"/>
      <c r="K135" s="1079"/>
      <c r="L135" s="950">
        <f t="shared" ref="L135:N135" ca="1" si="73">L136+L137</f>
        <v>0</v>
      </c>
      <c r="M135" s="950">
        <f t="shared" ca="1" si="73"/>
        <v>0</v>
      </c>
      <c r="N135" s="950">
        <f t="shared" ca="1" si="73"/>
        <v>0</v>
      </c>
      <c r="O135" s="950">
        <f t="shared" ca="1" si="70"/>
        <v>0</v>
      </c>
      <c r="P135" s="950">
        <f t="shared" ca="1" si="71"/>
        <v>0</v>
      </c>
      <c r="Q135" s="935"/>
      <c r="R135" s="935"/>
      <c r="S135" s="935"/>
      <c r="T135" s="935"/>
      <c r="U135" s="935"/>
      <c r="V135" s="935"/>
      <c r="W135" s="935"/>
      <c r="X135" s="935"/>
      <c r="Y135" s="935"/>
      <c r="Z135" s="935"/>
    </row>
    <row r="136" spans="1:26" ht="19.5" hidden="1">
      <c r="A136" s="1072"/>
      <c r="B136" s="952"/>
      <c r="C136" s="1080"/>
      <c r="D136" s="952"/>
      <c r="E136" s="953" t="s">
        <v>36</v>
      </c>
      <c r="F136" s="952"/>
      <c r="G136" s="1073"/>
      <c r="H136" s="1081" t="s">
        <v>12</v>
      </c>
      <c r="I136" s="1082"/>
      <c r="J136" s="1082"/>
      <c r="K136" s="1083"/>
      <c r="L136" s="957">
        <v>0</v>
      </c>
      <c r="M136" s="957">
        <v>0</v>
      </c>
      <c r="N136" s="957">
        <v>0</v>
      </c>
      <c r="O136" s="957">
        <f t="shared" si="70"/>
        <v>0</v>
      </c>
      <c r="P136" s="957">
        <f t="shared" si="71"/>
        <v>0</v>
      </c>
      <c r="Q136" s="943"/>
      <c r="R136" s="943"/>
      <c r="S136" s="943"/>
      <c r="T136" s="943"/>
      <c r="U136" s="943"/>
      <c r="V136" s="943"/>
      <c r="W136" s="943"/>
      <c r="X136" s="943"/>
      <c r="Y136" s="943"/>
      <c r="Z136" s="943"/>
    </row>
    <row r="137" spans="1:26" ht="19.5" hidden="1">
      <c r="A137" s="1072"/>
      <c r="B137" s="952"/>
      <c r="C137" s="1080"/>
      <c r="D137" s="952"/>
      <c r="E137" s="953" t="s">
        <v>37</v>
      </c>
      <c r="F137" s="952"/>
      <c r="G137" s="1073"/>
      <c r="H137" s="1081" t="s">
        <v>12</v>
      </c>
      <c r="I137" s="1082"/>
      <c r="J137" s="1082"/>
      <c r="K137" s="1083"/>
      <c r="L137" s="957">
        <f ca="1">IFERROR(__xludf.DUMMYFUNCTION("IMPORTRANGE(""https://docs.google.com/spreadsheets/d/1MeEWN-I1oV_STSDYn1IFDPWt_1FKiwhDph83XaGc0o0/edit?usp=sharing"",""งบพรบ!BK62"")"),0)</f>
        <v>0</v>
      </c>
      <c r="M137" s="957">
        <f ca="1">IFERROR(__xludf.DUMMYFUNCTION("IMPORTRANGE(""https://docs.google.com/spreadsheets/d/1MeEWN-I1oV_STSDYn1IFDPWt_1FKiwhDph83XaGc0o0/edit?usp=sharing"",""งบพรบ!BP62"")"),0)</f>
        <v>0</v>
      </c>
      <c r="N137" s="957">
        <f ca="1">IFERROR(__xludf.DUMMYFUNCTION("IMPORTRANGE(""https://docs.google.com/spreadsheets/d/1MeEWN-I1oV_STSDYn1IFDPWt_1FKiwhDph83XaGc0o0/edit?usp=sharing"",""งบพรบ!BR62"")"),0)</f>
        <v>0</v>
      </c>
      <c r="O137" s="957">
        <f t="shared" ca="1" si="70"/>
        <v>0</v>
      </c>
      <c r="P137" s="957">
        <f t="shared" ca="1" si="71"/>
        <v>0</v>
      </c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</row>
    <row r="138" spans="1:26" ht="18.75" hidden="1">
      <c r="A138" s="1075"/>
      <c r="B138" s="945"/>
      <c r="C138" s="1076"/>
      <c r="D138" s="946" t="s">
        <v>21</v>
      </c>
      <c r="E138" s="945"/>
      <c r="F138" s="945"/>
      <c r="G138" s="947"/>
      <c r="H138" s="1084" t="s">
        <v>12</v>
      </c>
      <c r="I138" s="1078"/>
      <c r="J138" s="1078"/>
      <c r="K138" s="1079"/>
      <c r="L138" s="950">
        <f t="shared" ref="L138:N138" ca="1" si="74">L139+L140</f>
        <v>0</v>
      </c>
      <c r="M138" s="950">
        <f t="shared" ca="1" si="74"/>
        <v>0</v>
      </c>
      <c r="N138" s="950">
        <f t="shared" ca="1" si="74"/>
        <v>0</v>
      </c>
      <c r="O138" s="950">
        <f t="shared" ca="1" si="70"/>
        <v>0</v>
      </c>
      <c r="P138" s="950">
        <f t="shared" ca="1" si="71"/>
        <v>0</v>
      </c>
      <c r="Q138" s="935"/>
      <c r="R138" s="935"/>
      <c r="S138" s="935"/>
      <c r="T138" s="935"/>
      <c r="U138" s="935"/>
      <c r="V138" s="935"/>
      <c r="W138" s="935"/>
      <c r="X138" s="935"/>
      <c r="Y138" s="935"/>
      <c r="Z138" s="935"/>
    </row>
    <row r="139" spans="1:26" ht="19.5" hidden="1">
      <c r="A139" s="1072"/>
      <c r="B139" s="952"/>
      <c r="C139" s="1080"/>
      <c r="D139" s="952"/>
      <c r="E139" s="953" t="s">
        <v>18</v>
      </c>
      <c r="F139" s="952"/>
      <c r="G139" s="1073"/>
      <c r="H139" s="1081" t="s">
        <v>12</v>
      </c>
      <c r="I139" s="1082"/>
      <c r="J139" s="1082"/>
      <c r="K139" s="1083"/>
      <c r="L139" s="957">
        <v>0</v>
      </c>
      <c r="M139" s="957">
        <v>0</v>
      </c>
      <c r="N139" s="957">
        <v>0</v>
      </c>
      <c r="O139" s="957">
        <f t="shared" si="70"/>
        <v>0</v>
      </c>
      <c r="P139" s="957">
        <f t="shared" si="71"/>
        <v>0</v>
      </c>
      <c r="Q139" s="943"/>
      <c r="R139" s="943"/>
      <c r="S139" s="943"/>
      <c r="T139" s="943"/>
      <c r="U139" s="943"/>
      <c r="V139" s="943"/>
      <c r="W139" s="943"/>
      <c r="X139" s="943"/>
      <c r="Y139" s="943"/>
      <c r="Z139" s="943"/>
    </row>
    <row r="140" spans="1:26" ht="19.5" hidden="1">
      <c r="A140" s="1072"/>
      <c r="B140" s="952"/>
      <c r="C140" s="1080"/>
      <c r="D140" s="952"/>
      <c r="E140" s="953" t="s">
        <v>19</v>
      </c>
      <c r="F140" s="952"/>
      <c r="G140" s="1073"/>
      <c r="H140" s="1085" t="s">
        <v>12</v>
      </c>
      <c r="I140" s="1082"/>
      <c r="J140" s="1082"/>
      <c r="K140" s="1083"/>
      <c r="L140" s="957">
        <f ca="1">IFERROR(__xludf.DUMMYFUNCTION("IMPORTRANGE(""https://docs.google.com/spreadsheets/d/1MeEWN-I1oV_STSDYn1IFDPWt_1FKiwhDph83XaGc0o0/edit?usp=sharing"",""งบพรบ!BN62"")"),0)</f>
        <v>0</v>
      </c>
      <c r="M140" s="957">
        <f ca="1">IFERROR(__xludf.DUMMYFUNCTION("IMPORTRANGE(""https://docs.google.com/spreadsheets/d/1MeEWN-I1oV_STSDYn1IFDPWt_1FKiwhDph83XaGc0o0/edit?usp=sharing"",""งบพรบ!BQ62"")"),0)</f>
        <v>0</v>
      </c>
      <c r="N140" s="957">
        <f ca="1">IFERROR(__xludf.DUMMYFUNCTION("IMPORTRANGE(""https://docs.google.com/spreadsheets/d/1MeEWN-I1oV_STSDYn1IFDPWt_1FKiwhDph83XaGc0o0/edit?usp=sharing"",""งบพรบ!BS62"")"),0)</f>
        <v>0</v>
      </c>
      <c r="O140" s="957">
        <f t="shared" ca="1" si="70"/>
        <v>0</v>
      </c>
      <c r="P140" s="957">
        <f t="shared" ca="1" si="71"/>
        <v>0</v>
      </c>
      <c r="Q140" s="943"/>
      <c r="R140" s="943"/>
      <c r="S140" s="943"/>
      <c r="T140" s="943"/>
      <c r="U140" s="943"/>
      <c r="V140" s="943"/>
      <c r="W140" s="943"/>
      <c r="X140" s="943"/>
      <c r="Y140" s="943"/>
      <c r="Z140" s="943"/>
    </row>
    <row r="141" spans="1:26" ht="19.5" hidden="1">
      <c r="A141" s="1086"/>
      <c r="B141" s="1087"/>
      <c r="C141" s="1065" t="s">
        <v>16</v>
      </c>
      <c r="D141" s="1088" t="s">
        <v>38</v>
      </c>
      <c r="E141" s="1089"/>
      <c r="F141" s="1089"/>
      <c r="G141" s="1090"/>
      <c r="H141" s="1084"/>
      <c r="I141" s="949"/>
      <c r="J141" s="949"/>
      <c r="K141" s="950"/>
      <c r="L141" s="950"/>
      <c r="M141" s="950"/>
      <c r="N141" s="950"/>
      <c r="O141" s="950"/>
      <c r="P141" s="950"/>
    </row>
    <row r="142" spans="1:26" ht="19.5" hidden="1">
      <c r="A142" s="1075"/>
      <c r="B142" s="945"/>
      <c r="C142" s="1121"/>
      <c r="D142" s="1076" t="s">
        <v>71</v>
      </c>
      <c r="E142" s="946"/>
      <c r="F142" s="945"/>
      <c r="G142" s="1122"/>
      <c r="H142" s="1084"/>
      <c r="I142" s="949"/>
      <c r="J142" s="1098">
        <v>0</v>
      </c>
      <c r="K142" s="950"/>
      <c r="L142" s="950"/>
      <c r="M142" s="950"/>
      <c r="N142" s="950"/>
      <c r="O142" s="950"/>
      <c r="P142" s="950"/>
    </row>
    <row r="143" spans="1:26" ht="19.5" hidden="1">
      <c r="A143" s="1075"/>
      <c r="B143" s="945"/>
      <c r="C143" s="1121"/>
      <c r="D143" s="1076" t="s">
        <v>72</v>
      </c>
      <c r="E143" s="946"/>
      <c r="F143" s="945"/>
      <c r="G143" s="1122"/>
      <c r="H143" s="1084" t="s">
        <v>35</v>
      </c>
      <c r="I143" s="949">
        <f ca="1">I145</f>
        <v>0</v>
      </c>
      <c r="J143" s="949">
        <f ca="1">IF(AND(J144&gt;=I144,J145&gt;=I145),J145,0)</f>
        <v>0</v>
      </c>
      <c r="K143" s="950">
        <f t="shared" ref="K143:K146" ca="1" si="75">IF(I143&gt;0,J143*100/I143,0)</f>
        <v>0</v>
      </c>
      <c r="L143" s="950"/>
      <c r="M143" s="950"/>
      <c r="N143" s="950"/>
      <c r="O143" s="950"/>
      <c r="P143" s="950"/>
    </row>
    <row r="144" spans="1:26" ht="19.5" hidden="1">
      <c r="A144" s="1075"/>
      <c r="B144" s="945"/>
      <c r="C144" s="1121"/>
      <c r="D144" s="1094"/>
      <c r="E144" s="1076" t="s">
        <v>73</v>
      </c>
      <c r="F144" s="945"/>
      <c r="G144" s="1122"/>
      <c r="H144" s="1084" t="s">
        <v>35</v>
      </c>
      <c r="I144" s="949">
        <f ca="1">IFERROR(__xludf.DUMMYFUNCTION("IMPORTRANGE(""https://docs.google.com/spreadsheets/d/1QqKyyYR6Q21VydFLVH3TRQUabQu_ym0Zz7PgGX0-kHA/edit?usp=sharing"",""แผน!U62"")"),0)</f>
        <v>0</v>
      </c>
      <c r="J144" s="1098">
        <v>0</v>
      </c>
      <c r="K144" s="950">
        <f t="shared" ca="1" si="75"/>
        <v>0</v>
      </c>
      <c r="L144" s="950"/>
      <c r="M144" s="950"/>
      <c r="N144" s="950"/>
      <c r="O144" s="950"/>
      <c r="P144" s="950"/>
    </row>
    <row r="145" spans="1:26" ht="19.5" hidden="1">
      <c r="A145" s="1075"/>
      <c r="B145" s="945"/>
      <c r="C145" s="1121"/>
      <c r="D145" s="1094"/>
      <c r="E145" s="1076" t="s">
        <v>74</v>
      </c>
      <c r="F145" s="945"/>
      <c r="G145" s="1122"/>
      <c r="H145" s="1084" t="s">
        <v>35</v>
      </c>
      <c r="I145" s="949">
        <f ca="1">IFERROR(__xludf.DUMMYFUNCTION("IMPORTRANGE(""https://docs.google.com/spreadsheets/d/1QqKyyYR6Q21VydFLVH3TRQUabQu_ym0Zz7PgGX0-kHA/edit?usp=sharing"",""แผน!V62"")"),0)</f>
        <v>0</v>
      </c>
      <c r="J145" s="1098">
        <v>0</v>
      </c>
      <c r="K145" s="950">
        <f t="shared" ca="1" si="75"/>
        <v>0</v>
      </c>
      <c r="L145" s="950"/>
      <c r="M145" s="950"/>
      <c r="N145" s="950"/>
      <c r="O145" s="950"/>
      <c r="P145" s="950"/>
    </row>
    <row r="146" spans="1:26" ht="19.5" hidden="1">
      <c r="A146" s="1075"/>
      <c r="B146" s="945"/>
      <c r="C146" s="1121"/>
      <c r="D146" s="1076" t="s">
        <v>75</v>
      </c>
      <c r="E146" s="946"/>
      <c r="F146" s="945"/>
      <c r="G146" s="1122"/>
      <c r="H146" s="1084" t="s">
        <v>66</v>
      </c>
      <c r="I146" s="949">
        <f ca="1">IFERROR(__xludf.DUMMYFUNCTION("IMPORTRANGE(""https://docs.google.com/spreadsheets/d/1QqKyyYR6Q21VydFLVH3TRQUabQu_ym0Zz7PgGX0-kHA/edit?usp=sharing"",""แผน!W62"")"),0)</f>
        <v>0</v>
      </c>
      <c r="J146" s="1098">
        <v>0</v>
      </c>
      <c r="K146" s="950">
        <f t="shared" ca="1" si="75"/>
        <v>0</v>
      </c>
      <c r="L146" s="950"/>
      <c r="M146" s="950"/>
      <c r="N146" s="950"/>
      <c r="O146" s="950"/>
      <c r="P146" s="950"/>
    </row>
    <row r="147" spans="1:26" ht="19.5">
      <c r="A147" s="1047" t="s">
        <v>76</v>
      </c>
      <c r="B147" s="1048"/>
      <c r="C147" s="1113"/>
      <c r="D147" s="1048"/>
      <c r="E147" s="1048"/>
      <c r="F147" s="1048"/>
      <c r="G147" s="1048"/>
      <c r="H147" s="1114"/>
      <c r="I147" s="1115"/>
      <c r="J147" s="1115"/>
      <c r="K147" s="1116"/>
      <c r="L147" s="1053"/>
      <c r="M147" s="1053"/>
      <c r="N147" s="1053"/>
      <c r="O147" s="1053"/>
      <c r="P147" s="1053"/>
    </row>
    <row r="148" spans="1:26" ht="19.5">
      <c r="A148" s="1123"/>
      <c r="B148" s="1055" t="s">
        <v>77</v>
      </c>
      <c r="C148" s="1055"/>
      <c r="D148" s="1055"/>
      <c r="E148" s="1124"/>
      <c r="F148" s="1125"/>
      <c r="G148" s="1126"/>
      <c r="H148" s="1127" t="s">
        <v>35</v>
      </c>
      <c r="I148" s="1060">
        <f t="shared" ref="I148:J148" ca="1" si="76">I159</f>
        <v>20</v>
      </c>
      <c r="J148" s="1060">
        <f t="shared" si="76"/>
        <v>0</v>
      </c>
      <c r="K148" s="1061">
        <f ca="1">IF(I148&gt;0,J148*100/I148,0)</f>
        <v>0</v>
      </c>
      <c r="L148" s="1061"/>
      <c r="M148" s="1061"/>
      <c r="N148" s="1061"/>
      <c r="O148" s="1061"/>
      <c r="P148" s="1061"/>
      <c r="Q148" s="1128"/>
      <c r="R148" s="1128"/>
      <c r="S148" s="1128"/>
      <c r="T148" s="1128"/>
      <c r="U148" s="1128"/>
      <c r="V148" s="1128"/>
      <c r="W148" s="1128"/>
      <c r="X148" s="1128"/>
      <c r="Y148" s="1128"/>
      <c r="Z148" s="1128"/>
    </row>
    <row r="149" spans="1:26" ht="19.5">
      <c r="A149" s="1063"/>
      <c r="B149" s="1064"/>
      <c r="C149" s="1065" t="s">
        <v>16</v>
      </c>
      <c r="D149" s="1066" t="s">
        <v>17</v>
      </c>
      <c r="E149" s="1064"/>
      <c r="F149" s="1064"/>
      <c r="G149" s="1067"/>
      <c r="H149" s="1068" t="s">
        <v>12</v>
      </c>
      <c r="I149" s="1069"/>
      <c r="J149" s="1069"/>
      <c r="K149" s="1070"/>
      <c r="L149" s="1071">
        <f t="shared" ref="L149:N149" ca="1" si="77">L150+L151</f>
        <v>10000</v>
      </c>
      <c r="M149" s="1071">
        <f t="shared" ca="1" si="77"/>
        <v>10000</v>
      </c>
      <c r="N149" s="1071">
        <f t="shared" ca="1" si="77"/>
        <v>4560</v>
      </c>
      <c r="O149" s="1071">
        <f t="shared" ref="O149:O157" ca="1" si="78">IF(L149&gt;0,N149*100/L149,0)</f>
        <v>45.6</v>
      </c>
      <c r="P149" s="1071">
        <f t="shared" ref="P149:P157" ca="1" si="79">IF(M149&gt;0,N149*100/M149,0)</f>
        <v>45.6</v>
      </c>
      <c r="Q149" s="935"/>
      <c r="R149" s="935"/>
      <c r="S149" s="935"/>
      <c r="T149" s="935"/>
      <c r="U149" s="935"/>
      <c r="V149" s="935"/>
      <c r="W149" s="935"/>
      <c r="X149" s="935"/>
      <c r="Y149" s="935"/>
      <c r="Z149" s="935"/>
    </row>
    <row r="150" spans="1:26" ht="18.75" hidden="1">
      <c r="A150" s="1072"/>
      <c r="B150" s="952"/>
      <c r="C150" s="952"/>
      <c r="D150" s="952"/>
      <c r="E150" s="953" t="s">
        <v>18</v>
      </c>
      <c r="F150" s="952"/>
      <c r="G150" s="1073"/>
      <c r="H150" s="1074" t="s">
        <v>12</v>
      </c>
      <c r="I150" s="956"/>
      <c r="J150" s="956"/>
      <c r="K150" s="957"/>
      <c r="L150" s="957">
        <f t="shared" ref="L150:N151" si="80">L153+L156</f>
        <v>0</v>
      </c>
      <c r="M150" s="957">
        <f t="shared" si="80"/>
        <v>0</v>
      </c>
      <c r="N150" s="957">
        <f t="shared" si="80"/>
        <v>0</v>
      </c>
      <c r="O150" s="957">
        <f t="shared" si="78"/>
        <v>0</v>
      </c>
      <c r="P150" s="957">
        <f t="shared" si="79"/>
        <v>0</v>
      </c>
      <c r="Q150" s="943"/>
      <c r="R150" s="943"/>
      <c r="S150" s="943"/>
      <c r="T150" s="943"/>
      <c r="U150" s="943"/>
      <c r="V150" s="943"/>
      <c r="W150" s="943"/>
      <c r="X150" s="943"/>
      <c r="Y150" s="943"/>
      <c r="Z150" s="943"/>
    </row>
    <row r="151" spans="1:26" ht="18.75" hidden="1">
      <c r="A151" s="1072"/>
      <c r="B151" s="952"/>
      <c r="C151" s="952"/>
      <c r="D151" s="952"/>
      <c r="E151" s="953" t="s">
        <v>19</v>
      </c>
      <c r="F151" s="952"/>
      <c r="G151" s="1073"/>
      <c r="H151" s="1074" t="s">
        <v>12</v>
      </c>
      <c r="I151" s="956"/>
      <c r="J151" s="956"/>
      <c r="K151" s="957"/>
      <c r="L151" s="957">
        <f t="shared" ca="1" si="80"/>
        <v>10000</v>
      </c>
      <c r="M151" s="957">
        <f t="shared" ca="1" si="80"/>
        <v>10000</v>
      </c>
      <c r="N151" s="957">
        <f t="shared" ca="1" si="80"/>
        <v>4560</v>
      </c>
      <c r="O151" s="957">
        <f t="shared" ca="1" si="78"/>
        <v>45.6</v>
      </c>
      <c r="P151" s="957">
        <f t="shared" ca="1" si="79"/>
        <v>45.6</v>
      </c>
      <c r="Q151" s="943"/>
      <c r="R151" s="943"/>
      <c r="S151" s="943"/>
      <c r="T151" s="943"/>
      <c r="U151" s="943"/>
      <c r="V151" s="943"/>
      <c r="W151" s="943"/>
      <c r="X151" s="943"/>
      <c r="Y151" s="943"/>
      <c r="Z151" s="943"/>
    </row>
    <row r="152" spans="1:26" ht="18.75">
      <c r="A152" s="1075"/>
      <c r="B152" s="945"/>
      <c r="C152" s="1076"/>
      <c r="D152" s="946" t="s">
        <v>20</v>
      </c>
      <c r="E152" s="945"/>
      <c r="F152" s="945"/>
      <c r="G152" s="947"/>
      <c r="H152" s="1077" t="s">
        <v>12</v>
      </c>
      <c r="I152" s="1078"/>
      <c r="J152" s="1078"/>
      <c r="K152" s="1079"/>
      <c r="L152" s="950">
        <f t="shared" ref="L152:N152" ca="1" si="81">L153+L154</f>
        <v>10000</v>
      </c>
      <c r="M152" s="950">
        <f t="shared" ca="1" si="81"/>
        <v>10000</v>
      </c>
      <c r="N152" s="950">
        <f t="shared" ca="1" si="81"/>
        <v>4560</v>
      </c>
      <c r="O152" s="950">
        <f t="shared" ca="1" si="78"/>
        <v>45.6</v>
      </c>
      <c r="P152" s="950">
        <f t="shared" ca="1" si="79"/>
        <v>45.6</v>
      </c>
      <c r="Q152" s="935"/>
      <c r="R152" s="935"/>
      <c r="S152" s="935"/>
      <c r="T152" s="935"/>
      <c r="U152" s="935"/>
      <c r="V152" s="935"/>
      <c r="W152" s="935"/>
      <c r="X152" s="935"/>
      <c r="Y152" s="935"/>
      <c r="Z152" s="935"/>
    </row>
    <row r="153" spans="1:26" ht="19.5" hidden="1">
      <c r="A153" s="1072"/>
      <c r="B153" s="952"/>
      <c r="C153" s="1080"/>
      <c r="D153" s="952"/>
      <c r="E153" s="953" t="s">
        <v>36</v>
      </c>
      <c r="F153" s="952"/>
      <c r="G153" s="1073"/>
      <c r="H153" s="1081" t="s">
        <v>12</v>
      </c>
      <c r="I153" s="1082"/>
      <c r="J153" s="1082"/>
      <c r="K153" s="1083"/>
      <c r="L153" s="957">
        <v>0</v>
      </c>
      <c r="M153" s="957">
        <v>0</v>
      </c>
      <c r="N153" s="957">
        <v>0</v>
      </c>
      <c r="O153" s="957">
        <f t="shared" si="78"/>
        <v>0</v>
      </c>
      <c r="P153" s="957">
        <f t="shared" si="79"/>
        <v>0</v>
      </c>
      <c r="Q153" s="943"/>
      <c r="R153" s="943"/>
      <c r="S153" s="943"/>
      <c r="T153" s="943"/>
      <c r="U153" s="943"/>
      <c r="V153" s="943"/>
      <c r="W153" s="943"/>
      <c r="X153" s="943"/>
      <c r="Y153" s="943"/>
      <c r="Z153" s="943"/>
    </row>
    <row r="154" spans="1:26" ht="19.5" hidden="1">
      <c r="A154" s="1072"/>
      <c r="B154" s="952"/>
      <c r="C154" s="1080"/>
      <c r="D154" s="952"/>
      <c r="E154" s="953" t="s">
        <v>37</v>
      </c>
      <c r="F154" s="952"/>
      <c r="G154" s="1073"/>
      <c r="H154" s="1081" t="s">
        <v>12</v>
      </c>
      <c r="I154" s="1082"/>
      <c r="J154" s="1082"/>
      <c r="K154" s="1083"/>
      <c r="L154" s="957">
        <f ca="1">IFERROR(__xludf.DUMMYFUNCTION("IMPORTRANGE(""https://docs.google.com/spreadsheets/d/1MeEWN-I1oV_STSDYn1IFDPWt_1FKiwhDph83XaGc0o0/edit?usp=sharing"",""งบพรบ!BU62"")"),10000)</f>
        <v>10000</v>
      </c>
      <c r="M154" s="957">
        <f ca="1">IFERROR(__xludf.DUMMYFUNCTION("IMPORTRANGE(""https://docs.google.com/spreadsheets/d/1MeEWN-I1oV_STSDYn1IFDPWt_1FKiwhDph83XaGc0o0/edit?usp=sharing"",""งบพรบ!BZ62"")"),10000)</f>
        <v>10000</v>
      </c>
      <c r="N154" s="957">
        <f ca="1">IFERROR(__xludf.DUMMYFUNCTION("IMPORTRANGE(""https://docs.google.com/spreadsheets/d/1MeEWN-I1oV_STSDYn1IFDPWt_1FKiwhDph83XaGc0o0/edit?usp=sharing"",""งบพรบ!CB62"")"),4560)</f>
        <v>4560</v>
      </c>
      <c r="O154" s="957">
        <f t="shared" ca="1" si="78"/>
        <v>45.6</v>
      </c>
      <c r="P154" s="957">
        <f t="shared" ca="1" si="79"/>
        <v>45.6</v>
      </c>
      <c r="Q154" s="943"/>
      <c r="R154" s="943"/>
      <c r="S154" s="943"/>
      <c r="T154" s="943"/>
      <c r="U154" s="943"/>
      <c r="V154" s="943"/>
      <c r="W154" s="943"/>
      <c r="X154" s="943"/>
      <c r="Y154" s="943"/>
      <c r="Z154" s="943"/>
    </row>
    <row r="155" spans="1:26" ht="18.75">
      <c r="A155" s="1075"/>
      <c r="B155" s="945"/>
      <c r="C155" s="1076"/>
      <c r="D155" s="946" t="s">
        <v>21</v>
      </c>
      <c r="E155" s="945"/>
      <c r="F155" s="945"/>
      <c r="G155" s="947"/>
      <c r="H155" s="1084" t="s">
        <v>12</v>
      </c>
      <c r="I155" s="1078"/>
      <c r="J155" s="1078"/>
      <c r="K155" s="1079"/>
      <c r="L155" s="950">
        <f t="shared" ref="L155:N155" ca="1" si="82">L156+L157</f>
        <v>0</v>
      </c>
      <c r="M155" s="950">
        <f t="shared" ca="1" si="82"/>
        <v>0</v>
      </c>
      <c r="N155" s="950">
        <f t="shared" ca="1" si="82"/>
        <v>0</v>
      </c>
      <c r="O155" s="950">
        <f t="shared" ca="1" si="78"/>
        <v>0</v>
      </c>
      <c r="P155" s="950">
        <f t="shared" ca="1" si="79"/>
        <v>0</v>
      </c>
      <c r="Q155" s="935"/>
      <c r="R155" s="935"/>
      <c r="S155" s="935"/>
      <c r="T155" s="935"/>
      <c r="U155" s="935"/>
      <c r="V155" s="935"/>
      <c r="W155" s="935"/>
      <c r="X155" s="935"/>
      <c r="Y155" s="935"/>
      <c r="Z155" s="935"/>
    </row>
    <row r="156" spans="1:26" ht="19.5" hidden="1">
      <c r="A156" s="1072"/>
      <c r="B156" s="952"/>
      <c r="C156" s="1080"/>
      <c r="D156" s="952"/>
      <c r="E156" s="953" t="s">
        <v>18</v>
      </c>
      <c r="F156" s="952"/>
      <c r="G156" s="1073"/>
      <c r="H156" s="1081" t="s">
        <v>12</v>
      </c>
      <c r="I156" s="1082"/>
      <c r="J156" s="1082"/>
      <c r="K156" s="1083"/>
      <c r="L156" s="957">
        <v>0</v>
      </c>
      <c r="M156" s="957">
        <v>0</v>
      </c>
      <c r="N156" s="957">
        <v>0</v>
      </c>
      <c r="O156" s="957">
        <f t="shared" si="78"/>
        <v>0</v>
      </c>
      <c r="P156" s="957">
        <f t="shared" si="79"/>
        <v>0</v>
      </c>
      <c r="Q156" s="943"/>
      <c r="R156" s="943"/>
      <c r="S156" s="943"/>
      <c r="T156" s="943"/>
      <c r="U156" s="943"/>
      <c r="V156" s="943"/>
      <c r="W156" s="943"/>
      <c r="X156" s="943"/>
      <c r="Y156" s="943"/>
      <c r="Z156" s="943"/>
    </row>
    <row r="157" spans="1:26" ht="19.5" hidden="1">
      <c r="A157" s="1072"/>
      <c r="B157" s="952"/>
      <c r="C157" s="1080"/>
      <c r="D157" s="952"/>
      <c r="E157" s="953" t="s">
        <v>19</v>
      </c>
      <c r="F157" s="952"/>
      <c r="G157" s="1073"/>
      <c r="H157" s="1085" t="s">
        <v>12</v>
      </c>
      <c r="I157" s="1082"/>
      <c r="J157" s="1082"/>
      <c r="K157" s="1083"/>
      <c r="L157" s="957">
        <f ca="1">IFERROR(__xludf.DUMMYFUNCTION("IMPORTRANGE(""https://docs.google.com/spreadsheets/d/1MeEWN-I1oV_STSDYn1IFDPWt_1FKiwhDph83XaGc0o0/edit?usp=sharing"",""งบพรบ!BX62"")"),0)</f>
        <v>0</v>
      </c>
      <c r="M157" s="957">
        <f ca="1">IFERROR(__xludf.DUMMYFUNCTION("IMPORTRANGE(""https://docs.google.com/spreadsheets/d/1MeEWN-I1oV_STSDYn1IFDPWt_1FKiwhDph83XaGc0o0/edit?usp=sharing"",""งบพรบ!CA62"")"),0)</f>
        <v>0</v>
      </c>
      <c r="N157" s="957">
        <f ca="1">IFERROR(__xludf.DUMMYFUNCTION("IMPORTRANGE(""https://docs.google.com/spreadsheets/d/1MeEWN-I1oV_STSDYn1IFDPWt_1FKiwhDph83XaGc0o0/edit?usp=sharing"",""งบพรบ!CC62"")"),0)</f>
        <v>0</v>
      </c>
      <c r="O157" s="957">
        <f t="shared" ca="1" si="78"/>
        <v>0</v>
      </c>
      <c r="P157" s="957">
        <f t="shared" ca="1" si="79"/>
        <v>0</v>
      </c>
      <c r="Q157" s="943"/>
      <c r="R157" s="943"/>
      <c r="S157" s="943"/>
      <c r="T157" s="943"/>
      <c r="U157" s="943"/>
      <c r="V157" s="943"/>
      <c r="W157" s="943"/>
      <c r="X157" s="943"/>
      <c r="Y157" s="943"/>
      <c r="Z157" s="943"/>
    </row>
    <row r="158" spans="1:26" ht="19.5">
      <c r="A158" s="1086"/>
      <c r="B158" s="1087"/>
      <c r="C158" s="1080" t="s">
        <v>16</v>
      </c>
      <c r="D158" s="1088" t="s">
        <v>38</v>
      </c>
      <c r="E158" s="1089"/>
      <c r="F158" s="1089"/>
      <c r="G158" s="1090"/>
      <c r="H158" s="1084"/>
      <c r="I158" s="949"/>
      <c r="J158" s="949"/>
      <c r="K158" s="950"/>
      <c r="L158" s="950"/>
      <c r="M158" s="950"/>
      <c r="N158" s="950"/>
      <c r="O158" s="950"/>
      <c r="P158" s="950"/>
    </row>
    <row r="159" spans="1:26" ht="19.5">
      <c r="A159" s="1075"/>
      <c r="B159" s="945"/>
      <c r="C159" s="1121"/>
      <c r="D159" s="1076" t="s">
        <v>78</v>
      </c>
      <c r="E159" s="946"/>
      <c r="F159" s="945"/>
      <c r="G159" s="1122"/>
      <c r="H159" s="1084" t="s">
        <v>35</v>
      </c>
      <c r="I159" s="949">
        <f ca="1">IFERROR(__xludf.DUMMYFUNCTION("IMPORTRANGE(""https://docs.google.com/spreadsheets/d/1QqKyyYR6Q21VydFLVH3TRQUabQu_ym0Zz7PgGX0-kHA/edit?usp=sharing"",""แผน!X62"")"),20)</f>
        <v>20</v>
      </c>
      <c r="J159" s="1098">
        <v>0</v>
      </c>
      <c r="K159" s="950">
        <f ca="1">IF(I159&gt;0,J159*100/I159,0)</f>
        <v>0</v>
      </c>
      <c r="L159" s="950"/>
      <c r="M159" s="950"/>
      <c r="N159" s="950"/>
      <c r="O159" s="950"/>
      <c r="P159" s="950"/>
    </row>
    <row r="160" spans="1:26" ht="19.5" hidden="1">
      <c r="A160" s="1072"/>
      <c r="B160" s="952"/>
      <c r="C160" s="1080"/>
      <c r="D160" s="953" t="s">
        <v>79</v>
      </c>
      <c r="E160" s="1129"/>
      <c r="F160" s="952"/>
      <c r="G160" s="1073"/>
      <c r="H160" s="1085" t="s">
        <v>35</v>
      </c>
      <c r="I160" s="956"/>
      <c r="J160" s="956"/>
      <c r="K160" s="957"/>
      <c r="L160" s="957"/>
      <c r="M160" s="957"/>
      <c r="N160" s="957"/>
      <c r="O160" s="957"/>
      <c r="P160" s="957"/>
      <c r="Q160" s="1130"/>
      <c r="R160" s="1130"/>
      <c r="S160" s="1130"/>
      <c r="T160" s="1130"/>
      <c r="U160" s="1130"/>
      <c r="V160" s="1130"/>
      <c r="W160" s="1130"/>
      <c r="X160" s="1130"/>
      <c r="Y160" s="1130"/>
      <c r="Z160" s="1130"/>
    </row>
    <row r="161" spans="1:26" ht="19.5" hidden="1">
      <c r="A161" s="1131"/>
      <c r="B161" s="1132"/>
      <c r="C161" s="1133"/>
      <c r="D161" s="1134" t="s">
        <v>80</v>
      </c>
      <c r="E161" s="1135"/>
      <c r="F161" s="1132"/>
      <c r="G161" s="1136"/>
      <c r="H161" s="1137" t="s">
        <v>35</v>
      </c>
      <c r="I161" s="1138"/>
      <c r="J161" s="1138"/>
      <c r="K161" s="1139"/>
      <c r="L161" s="1139"/>
      <c r="M161" s="1139"/>
      <c r="N161" s="1139"/>
      <c r="O161" s="1139"/>
      <c r="P161" s="1139"/>
      <c r="Q161" s="1130"/>
      <c r="R161" s="1130"/>
      <c r="S161" s="1130"/>
      <c r="T161" s="1130"/>
      <c r="U161" s="1130"/>
      <c r="V161" s="1130"/>
      <c r="W161" s="1130"/>
      <c r="X161" s="1130"/>
      <c r="Y161" s="1130"/>
      <c r="Z161" s="1130"/>
    </row>
    <row r="162" spans="1:26" ht="19.5">
      <c r="A162" s="1140" t="s">
        <v>81</v>
      </c>
      <c r="B162" s="1141"/>
      <c r="C162" s="1141"/>
      <c r="D162" s="1141"/>
      <c r="E162" s="1142"/>
      <c r="F162" s="1142"/>
      <c r="G162" s="1143"/>
      <c r="H162" s="1144"/>
      <c r="I162" s="1145"/>
      <c r="J162" s="1145"/>
      <c r="K162" s="1146"/>
      <c r="L162" s="1146"/>
      <c r="M162" s="1146"/>
      <c r="N162" s="1146"/>
      <c r="O162" s="1146"/>
      <c r="P162" s="1146"/>
    </row>
    <row r="163" spans="1:26" ht="19.5">
      <c r="A163" s="1147" t="s">
        <v>82</v>
      </c>
      <c r="B163" s="1148"/>
      <c r="C163" s="1148"/>
      <c r="D163" s="1149"/>
      <c r="E163" s="1149"/>
      <c r="F163" s="1149"/>
      <c r="G163" s="1150"/>
      <c r="H163" s="1151"/>
      <c r="I163" s="1152"/>
      <c r="J163" s="1152"/>
      <c r="K163" s="1153"/>
      <c r="L163" s="1153"/>
      <c r="M163" s="1153"/>
      <c r="N163" s="1153"/>
      <c r="O163" s="1153"/>
      <c r="P163" s="1153"/>
    </row>
    <row r="164" spans="1:26" ht="19.5">
      <c r="A164" s="1154"/>
      <c r="B164" s="1155" t="s">
        <v>83</v>
      </c>
      <c r="C164" s="1156"/>
      <c r="D164" s="1089"/>
      <c r="E164" s="1089"/>
      <c r="F164" s="1089"/>
      <c r="G164" s="1090"/>
      <c r="H164" s="1157" t="s">
        <v>35</v>
      </c>
      <c r="I164" s="1158">
        <f t="shared" ref="I164:J164" ca="1" si="83">I174+I177</f>
        <v>10</v>
      </c>
      <c r="J164" s="1158">
        <f t="shared" si="83"/>
        <v>10</v>
      </c>
      <c r="K164" s="1159">
        <f ca="1">IF(I164&gt;0,J164*100/I164,0)</f>
        <v>100</v>
      </c>
      <c r="L164" s="1160"/>
      <c r="M164" s="1160"/>
      <c r="N164" s="1160"/>
      <c r="O164" s="1160"/>
      <c r="P164" s="1160"/>
    </row>
    <row r="165" spans="1:26" ht="19.5">
      <c r="A165" s="1063"/>
      <c r="B165" s="1064"/>
      <c r="C165" s="1065" t="s">
        <v>16</v>
      </c>
      <c r="D165" s="1066" t="s">
        <v>17</v>
      </c>
      <c r="E165" s="1064"/>
      <c r="F165" s="1064"/>
      <c r="G165" s="1067"/>
      <c r="H165" s="1068" t="s">
        <v>12</v>
      </c>
      <c r="I165" s="1069"/>
      <c r="J165" s="1069"/>
      <c r="K165" s="1070"/>
      <c r="L165" s="1071">
        <f t="shared" ref="L165:N165" ca="1" si="84">L166+L167</f>
        <v>21050</v>
      </c>
      <c r="M165" s="1071">
        <f t="shared" ca="1" si="84"/>
        <v>32220</v>
      </c>
      <c r="N165" s="1071">
        <f t="shared" ca="1" si="84"/>
        <v>32220</v>
      </c>
      <c r="O165" s="1071">
        <f t="shared" ref="O165:O173" ca="1" si="85">IF(L165&gt;0,N165*100/L165,0)</f>
        <v>153.06413301662707</v>
      </c>
      <c r="P165" s="1071">
        <f t="shared" ref="P165:P173" ca="1" si="86">IF(M165&gt;0,N165*100/M165,0)</f>
        <v>100</v>
      </c>
      <c r="Q165" s="935"/>
      <c r="R165" s="935"/>
      <c r="S165" s="935"/>
      <c r="T165" s="935"/>
      <c r="U165" s="935"/>
      <c r="V165" s="935"/>
      <c r="W165" s="935"/>
      <c r="X165" s="935"/>
      <c r="Y165" s="935"/>
      <c r="Z165" s="935"/>
    </row>
    <row r="166" spans="1:26" ht="18.75" hidden="1">
      <c r="A166" s="1072"/>
      <c r="B166" s="952"/>
      <c r="C166" s="952"/>
      <c r="D166" s="952"/>
      <c r="E166" s="953" t="s">
        <v>18</v>
      </c>
      <c r="F166" s="952"/>
      <c r="G166" s="1073"/>
      <c r="H166" s="1074" t="s">
        <v>12</v>
      </c>
      <c r="I166" s="956"/>
      <c r="J166" s="956"/>
      <c r="K166" s="957"/>
      <c r="L166" s="957">
        <f t="shared" ref="L166:N167" si="87">L169+L172</f>
        <v>0</v>
      </c>
      <c r="M166" s="957">
        <f t="shared" si="87"/>
        <v>0</v>
      </c>
      <c r="N166" s="957">
        <f t="shared" si="87"/>
        <v>0</v>
      </c>
      <c r="O166" s="957">
        <f t="shared" si="85"/>
        <v>0</v>
      </c>
      <c r="P166" s="957">
        <f t="shared" si="86"/>
        <v>0</v>
      </c>
      <c r="Q166" s="943"/>
      <c r="R166" s="943"/>
      <c r="S166" s="943"/>
      <c r="T166" s="943"/>
      <c r="U166" s="943"/>
      <c r="V166" s="943"/>
      <c r="W166" s="943"/>
      <c r="X166" s="943"/>
      <c r="Y166" s="943"/>
      <c r="Z166" s="943"/>
    </row>
    <row r="167" spans="1:26" ht="18.75" hidden="1">
      <c r="A167" s="1072"/>
      <c r="B167" s="952"/>
      <c r="C167" s="952"/>
      <c r="D167" s="952"/>
      <c r="E167" s="953" t="s">
        <v>19</v>
      </c>
      <c r="F167" s="952"/>
      <c r="G167" s="1073"/>
      <c r="H167" s="1074" t="s">
        <v>12</v>
      </c>
      <c r="I167" s="956"/>
      <c r="J167" s="956"/>
      <c r="K167" s="957"/>
      <c r="L167" s="957">
        <f t="shared" ca="1" si="87"/>
        <v>21050</v>
      </c>
      <c r="M167" s="957">
        <f t="shared" ca="1" si="87"/>
        <v>32220</v>
      </c>
      <c r="N167" s="957">
        <f t="shared" ca="1" si="87"/>
        <v>32220</v>
      </c>
      <c r="O167" s="957">
        <f t="shared" ca="1" si="85"/>
        <v>153.06413301662707</v>
      </c>
      <c r="P167" s="957">
        <f t="shared" ca="1" si="86"/>
        <v>100</v>
      </c>
      <c r="Q167" s="943"/>
      <c r="R167" s="943"/>
      <c r="S167" s="943"/>
      <c r="T167" s="943"/>
      <c r="U167" s="943"/>
      <c r="V167" s="943"/>
      <c r="W167" s="943"/>
      <c r="X167" s="943"/>
      <c r="Y167" s="943"/>
      <c r="Z167" s="943"/>
    </row>
    <row r="168" spans="1:26" ht="18.75">
      <c r="A168" s="1075"/>
      <c r="B168" s="945"/>
      <c r="C168" s="1076"/>
      <c r="D168" s="946" t="s">
        <v>20</v>
      </c>
      <c r="E168" s="945"/>
      <c r="F168" s="945"/>
      <c r="G168" s="947"/>
      <c r="H168" s="1077" t="s">
        <v>12</v>
      </c>
      <c r="I168" s="1078"/>
      <c r="J168" s="1078"/>
      <c r="K168" s="1079"/>
      <c r="L168" s="950">
        <f t="shared" ref="L168:N168" ca="1" si="88">L169+L170</f>
        <v>21050</v>
      </c>
      <c r="M168" s="950">
        <f t="shared" ca="1" si="88"/>
        <v>32220</v>
      </c>
      <c r="N168" s="950">
        <f t="shared" ca="1" si="88"/>
        <v>32220</v>
      </c>
      <c r="O168" s="950">
        <f t="shared" ca="1" si="85"/>
        <v>153.06413301662707</v>
      </c>
      <c r="P168" s="950">
        <f t="shared" ca="1" si="86"/>
        <v>100</v>
      </c>
      <c r="Q168" s="935"/>
      <c r="R168" s="935"/>
      <c r="S168" s="935"/>
      <c r="T168" s="935"/>
      <c r="U168" s="935"/>
      <c r="V168" s="935"/>
      <c r="W168" s="935"/>
      <c r="X168" s="935"/>
      <c r="Y168" s="935"/>
      <c r="Z168" s="935"/>
    </row>
    <row r="169" spans="1:26" ht="19.5" hidden="1">
      <c r="A169" s="1072"/>
      <c r="B169" s="952"/>
      <c r="C169" s="1080"/>
      <c r="D169" s="952"/>
      <c r="E169" s="953" t="s">
        <v>36</v>
      </c>
      <c r="F169" s="952"/>
      <c r="G169" s="1073"/>
      <c r="H169" s="1081" t="s">
        <v>12</v>
      </c>
      <c r="I169" s="1082"/>
      <c r="J169" s="1082"/>
      <c r="K169" s="1083"/>
      <c r="L169" s="957">
        <v>0</v>
      </c>
      <c r="M169" s="957">
        <v>0</v>
      </c>
      <c r="N169" s="957">
        <v>0</v>
      </c>
      <c r="O169" s="957">
        <f t="shared" si="85"/>
        <v>0</v>
      </c>
      <c r="P169" s="957">
        <f t="shared" si="86"/>
        <v>0</v>
      </c>
      <c r="Q169" s="943"/>
      <c r="R169" s="943"/>
      <c r="S169" s="943"/>
      <c r="T169" s="943"/>
      <c r="U169" s="943"/>
      <c r="V169" s="943"/>
      <c r="W169" s="943"/>
      <c r="X169" s="943"/>
      <c r="Y169" s="943"/>
      <c r="Z169" s="943"/>
    </row>
    <row r="170" spans="1:26" ht="19.5" hidden="1">
      <c r="A170" s="1072"/>
      <c r="B170" s="952"/>
      <c r="C170" s="1080"/>
      <c r="D170" s="952"/>
      <c r="E170" s="953" t="s">
        <v>37</v>
      </c>
      <c r="F170" s="952"/>
      <c r="G170" s="1073"/>
      <c r="H170" s="1081" t="s">
        <v>12</v>
      </c>
      <c r="I170" s="1082"/>
      <c r="J170" s="1082"/>
      <c r="K170" s="1083"/>
      <c r="L170" s="957">
        <f ca="1">IFERROR(__xludf.DUMMYFUNCTION("IMPORTRANGE(""https://docs.google.com/spreadsheets/d/1MeEWN-I1oV_STSDYn1IFDPWt_1FKiwhDph83XaGc0o0/edit?usp=sharing"",""งบพรบ!CE62"")"),21050)</f>
        <v>21050</v>
      </c>
      <c r="M170" s="957">
        <f ca="1">IFERROR(__xludf.DUMMYFUNCTION("IMPORTRANGE(""https://docs.google.com/spreadsheets/d/1MeEWN-I1oV_STSDYn1IFDPWt_1FKiwhDph83XaGc0o0/edit?usp=sharing"",""งบพรบ!CJ62"")"),32220)</f>
        <v>32220</v>
      </c>
      <c r="N170" s="957">
        <f ca="1">IFERROR(__xludf.DUMMYFUNCTION("IMPORTRANGE(""https://docs.google.com/spreadsheets/d/1MeEWN-I1oV_STSDYn1IFDPWt_1FKiwhDph83XaGc0o0/edit?usp=sharing"",""งบพรบ!CL62"")"),32220)</f>
        <v>32220</v>
      </c>
      <c r="O170" s="957">
        <f t="shared" ca="1" si="85"/>
        <v>153.06413301662707</v>
      </c>
      <c r="P170" s="957">
        <f t="shared" ca="1" si="86"/>
        <v>100</v>
      </c>
      <c r="Q170" s="943"/>
      <c r="R170" s="943"/>
      <c r="S170" s="943"/>
      <c r="T170" s="943"/>
      <c r="U170" s="943"/>
      <c r="V170" s="943"/>
      <c r="W170" s="943"/>
      <c r="X170" s="943"/>
      <c r="Y170" s="943"/>
      <c r="Z170" s="943"/>
    </row>
    <row r="171" spans="1:26" ht="18.75">
      <c r="A171" s="1075"/>
      <c r="B171" s="945"/>
      <c r="C171" s="1076"/>
      <c r="D171" s="946" t="s">
        <v>21</v>
      </c>
      <c r="E171" s="945"/>
      <c r="F171" s="945"/>
      <c r="G171" s="947"/>
      <c r="H171" s="1084" t="s">
        <v>12</v>
      </c>
      <c r="I171" s="1078"/>
      <c r="J171" s="1078"/>
      <c r="K171" s="1079"/>
      <c r="L171" s="950">
        <f t="shared" ref="L171:N171" ca="1" si="89">L172+L173</f>
        <v>0</v>
      </c>
      <c r="M171" s="950">
        <f t="shared" ca="1" si="89"/>
        <v>0</v>
      </c>
      <c r="N171" s="950">
        <f t="shared" ca="1" si="89"/>
        <v>0</v>
      </c>
      <c r="O171" s="950">
        <f t="shared" ca="1" si="85"/>
        <v>0</v>
      </c>
      <c r="P171" s="950">
        <f t="shared" ca="1" si="86"/>
        <v>0</v>
      </c>
      <c r="Q171" s="935"/>
      <c r="R171" s="935"/>
      <c r="S171" s="935"/>
      <c r="T171" s="935"/>
      <c r="U171" s="935"/>
      <c r="V171" s="935"/>
      <c r="W171" s="935"/>
      <c r="X171" s="935"/>
      <c r="Y171" s="935"/>
      <c r="Z171" s="935"/>
    </row>
    <row r="172" spans="1:26" ht="19.5" hidden="1">
      <c r="A172" s="1072"/>
      <c r="B172" s="952"/>
      <c r="C172" s="1080"/>
      <c r="D172" s="952"/>
      <c r="E172" s="953" t="s">
        <v>18</v>
      </c>
      <c r="F172" s="952"/>
      <c r="G172" s="1073"/>
      <c r="H172" s="1081" t="s">
        <v>12</v>
      </c>
      <c r="I172" s="1082"/>
      <c r="J172" s="1082"/>
      <c r="K172" s="1083"/>
      <c r="L172" s="957">
        <v>0</v>
      </c>
      <c r="M172" s="957">
        <v>0</v>
      </c>
      <c r="N172" s="957">
        <v>0</v>
      </c>
      <c r="O172" s="957">
        <f t="shared" si="85"/>
        <v>0</v>
      </c>
      <c r="P172" s="957">
        <f t="shared" si="86"/>
        <v>0</v>
      </c>
      <c r="Q172" s="943"/>
      <c r="R172" s="943"/>
      <c r="S172" s="943"/>
      <c r="T172" s="943"/>
      <c r="U172" s="943"/>
      <c r="V172" s="943"/>
      <c r="W172" s="943"/>
      <c r="X172" s="943"/>
      <c r="Y172" s="943"/>
      <c r="Z172" s="943"/>
    </row>
    <row r="173" spans="1:26" ht="19.5" hidden="1">
      <c r="A173" s="1072"/>
      <c r="B173" s="952"/>
      <c r="C173" s="1080"/>
      <c r="D173" s="952"/>
      <c r="E173" s="953" t="s">
        <v>19</v>
      </c>
      <c r="F173" s="952"/>
      <c r="G173" s="1073"/>
      <c r="H173" s="1085" t="s">
        <v>12</v>
      </c>
      <c r="I173" s="1082"/>
      <c r="J173" s="1082"/>
      <c r="K173" s="1083"/>
      <c r="L173" s="957">
        <f ca="1">IFERROR(__xludf.DUMMYFUNCTION("IMPORTRANGE(""https://docs.google.com/spreadsheets/d/1MeEWN-I1oV_STSDYn1IFDPWt_1FKiwhDph83XaGc0o0/edit?usp=sharing"",""งบพรบ!CH62"")"),0)</f>
        <v>0</v>
      </c>
      <c r="M173" s="957">
        <f ca="1">IFERROR(__xludf.DUMMYFUNCTION("IMPORTRANGE(""https://docs.google.com/spreadsheets/d/1MeEWN-I1oV_STSDYn1IFDPWt_1FKiwhDph83XaGc0o0/edit?usp=sharing"",""งบพรบ!CK62"")"),0)</f>
        <v>0</v>
      </c>
      <c r="N173" s="957">
        <f ca="1">IFERROR(__xludf.DUMMYFUNCTION("IMPORTRANGE(""https://docs.google.com/spreadsheets/d/1MeEWN-I1oV_STSDYn1IFDPWt_1FKiwhDph83XaGc0o0/edit?usp=sharing"",""งบพรบ!CM62"")"),0)</f>
        <v>0</v>
      </c>
      <c r="O173" s="957">
        <f t="shared" ca="1" si="85"/>
        <v>0</v>
      </c>
      <c r="P173" s="957">
        <f t="shared" ca="1" si="86"/>
        <v>0</v>
      </c>
      <c r="Q173" s="943"/>
      <c r="R173" s="943"/>
      <c r="S173" s="943"/>
      <c r="T173" s="943"/>
      <c r="U173" s="943"/>
      <c r="V173" s="943"/>
      <c r="W173" s="943"/>
      <c r="X173" s="943"/>
      <c r="Y173" s="943"/>
      <c r="Z173" s="943"/>
    </row>
    <row r="174" spans="1:26" ht="19.5">
      <c r="A174" s="1161"/>
      <c r="B174" s="1162"/>
      <c r="C174" s="1163" t="s">
        <v>84</v>
      </c>
      <c r="D174" s="1162"/>
      <c r="E174" s="1162"/>
      <c r="F174" s="1162"/>
      <c r="G174" s="1164"/>
      <c r="H174" s="1165" t="s">
        <v>35</v>
      </c>
      <c r="I174" s="1166">
        <f t="shared" ref="I174:J174" ca="1" si="90">I176</f>
        <v>10</v>
      </c>
      <c r="J174" s="1166">
        <f t="shared" si="90"/>
        <v>10</v>
      </c>
      <c r="K174" s="1167">
        <f ca="1">IF(I174&gt;0,J174*100/I174,0)</f>
        <v>100</v>
      </c>
      <c r="L174" s="1167"/>
      <c r="M174" s="1167"/>
      <c r="N174" s="1167"/>
      <c r="O174" s="1167"/>
      <c r="P174" s="1167"/>
    </row>
    <row r="175" spans="1:26" ht="19.5">
      <c r="A175" s="1086"/>
      <c r="B175" s="1087"/>
      <c r="C175" s="1080" t="s">
        <v>16</v>
      </c>
      <c r="D175" s="1088" t="s">
        <v>38</v>
      </c>
      <c r="E175" s="1089"/>
      <c r="F175" s="1089"/>
      <c r="G175" s="1090"/>
      <c r="H175" s="1091"/>
      <c r="I175" s="1078"/>
      <c r="J175" s="1078"/>
      <c r="K175" s="1079"/>
      <c r="L175" s="1079"/>
      <c r="M175" s="1079"/>
      <c r="N175" s="1079"/>
      <c r="O175" s="1079"/>
      <c r="P175" s="1079"/>
    </row>
    <row r="176" spans="1:26" ht="18.75">
      <c r="A176" s="1086"/>
      <c r="B176" s="1087"/>
      <c r="C176" s="1087"/>
      <c r="D176" s="1168" t="s">
        <v>85</v>
      </c>
      <c r="E176" s="1094"/>
      <c r="F176" s="1094"/>
      <c r="G176" s="1095"/>
      <c r="H176" s="948" t="s">
        <v>35</v>
      </c>
      <c r="I176" s="949">
        <f ca="1">IFERROR(__xludf.DUMMYFUNCTION("IMPORTRANGE(""https://docs.google.com/spreadsheets/d/1QqKyyYR6Q21VydFLVH3TRQUabQu_ym0Zz7PgGX0-kHA/edit?usp=sharing"",""แผน!Y62"")"),10)</f>
        <v>10</v>
      </c>
      <c r="J176" s="1098">
        <v>10</v>
      </c>
      <c r="K176" s="1079">
        <f ca="1">IF(I176&gt;0,J176*100/I176,0)</f>
        <v>100</v>
      </c>
      <c r="L176" s="1079"/>
      <c r="M176" s="1079"/>
      <c r="N176" s="1079"/>
      <c r="O176" s="1079"/>
      <c r="P176" s="1079"/>
    </row>
    <row r="177" spans="1:26" ht="19.5" hidden="1">
      <c r="A177" s="1161"/>
      <c r="B177" s="1169"/>
      <c r="C177" s="1170" t="s">
        <v>86</v>
      </c>
      <c r="D177" s="1169"/>
      <c r="E177" s="1162"/>
      <c r="F177" s="1162"/>
      <c r="G177" s="1164"/>
      <c r="H177" s="1171" t="s">
        <v>35</v>
      </c>
      <c r="I177" s="1166"/>
      <c r="J177" s="1166">
        <f>J179</f>
        <v>0</v>
      </c>
      <c r="K177" s="1167"/>
      <c r="L177" s="1167"/>
      <c r="M177" s="1167"/>
      <c r="N177" s="1167"/>
      <c r="O177" s="1167"/>
      <c r="P177" s="1167"/>
    </row>
    <row r="178" spans="1:26" ht="19.5" hidden="1">
      <c r="A178" s="1086"/>
      <c r="B178" s="1087"/>
      <c r="C178" s="1080" t="s">
        <v>16</v>
      </c>
      <c r="D178" s="1172" t="s">
        <v>38</v>
      </c>
      <c r="E178" s="1089"/>
      <c r="F178" s="1089"/>
      <c r="G178" s="1090"/>
      <c r="H178" s="1091"/>
      <c r="I178" s="1078"/>
      <c r="J178" s="1078"/>
      <c r="K178" s="1079"/>
      <c r="L178" s="1079"/>
      <c r="M178" s="1079"/>
      <c r="N178" s="1079"/>
      <c r="O178" s="1079"/>
      <c r="P178" s="1079"/>
    </row>
    <row r="179" spans="1:26" ht="18.75" hidden="1">
      <c r="A179" s="1086"/>
      <c r="B179" s="1087"/>
      <c r="C179" s="1087"/>
      <c r="D179" s="1173" t="s">
        <v>87</v>
      </c>
      <c r="E179" s="1094"/>
      <c r="F179" s="1174"/>
      <c r="G179" s="1095"/>
      <c r="H179" s="955" t="s">
        <v>35</v>
      </c>
      <c r="I179" s="949"/>
      <c r="J179" s="949"/>
      <c r="K179" s="1079"/>
      <c r="L179" s="1079"/>
      <c r="M179" s="1079"/>
      <c r="N179" s="1079"/>
      <c r="O179" s="1079"/>
      <c r="P179" s="1079"/>
    </row>
    <row r="180" spans="1:26" ht="19.5">
      <c r="A180" s="1154"/>
      <c r="B180" s="1155" t="s">
        <v>88</v>
      </c>
      <c r="C180" s="1156"/>
      <c r="D180" s="1089"/>
      <c r="E180" s="1089"/>
      <c r="F180" s="1089"/>
      <c r="G180" s="1090"/>
      <c r="H180" s="1157" t="s">
        <v>35</v>
      </c>
      <c r="I180" s="1158">
        <v>0</v>
      </c>
      <c r="J180" s="1158">
        <f t="shared" ref="J180" si="91">J225+J226</f>
        <v>0</v>
      </c>
      <c r="K180" s="1159">
        <f>IF(I180&gt;0,J180*100/I180,0)</f>
        <v>0</v>
      </c>
      <c r="L180" s="1160"/>
      <c r="M180" s="1160"/>
      <c r="N180" s="1160"/>
      <c r="O180" s="1160"/>
      <c r="P180" s="1160"/>
    </row>
    <row r="181" spans="1:26" ht="19.5">
      <c r="A181" s="1063"/>
      <c r="B181" s="1064"/>
      <c r="C181" s="1065" t="s">
        <v>16</v>
      </c>
      <c r="D181" s="1066" t="s">
        <v>17</v>
      </c>
      <c r="E181" s="1064"/>
      <c r="F181" s="1064"/>
      <c r="G181" s="1067"/>
      <c r="H181" s="1068" t="s">
        <v>12</v>
      </c>
      <c r="I181" s="1069"/>
      <c r="J181" s="1069"/>
      <c r="K181" s="1070"/>
      <c r="L181" s="1071">
        <f t="shared" ref="L181:N181" ca="1" si="92">L182+L183</f>
        <v>193000</v>
      </c>
      <c r="M181" s="1071">
        <f t="shared" ca="1" si="92"/>
        <v>148250</v>
      </c>
      <c r="N181" s="1071">
        <f t="shared" ca="1" si="92"/>
        <v>119919.34</v>
      </c>
      <c r="O181" s="1071">
        <f t="shared" ref="O181:O189" ca="1" si="93">IF(L181&gt;0,N181*100/L181,0)</f>
        <v>62.134373056994818</v>
      </c>
      <c r="P181" s="1071">
        <f t="shared" ref="P181:P189" ca="1" si="94">IF(M181&gt;0,N181*100/M181,0)</f>
        <v>80.889942664418214</v>
      </c>
      <c r="Q181" s="935"/>
      <c r="R181" s="935"/>
      <c r="S181" s="935"/>
      <c r="T181" s="935"/>
      <c r="U181" s="935"/>
      <c r="V181" s="935"/>
      <c r="W181" s="935"/>
      <c r="X181" s="935"/>
      <c r="Y181" s="935"/>
      <c r="Z181" s="935"/>
    </row>
    <row r="182" spans="1:26" ht="18.75" hidden="1">
      <c r="A182" s="1072"/>
      <c r="B182" s="952"/>
      <c r="C182" s="952"/>
      <c r="D182" s="952"/>
      <c r="E182" s="953" t="s">
        <v>18</v>
      </c>
      <c r="F182" s="952"/>
      <c r="G182" s="1073"/>
      <c r="H182" s="1074" t="s">
        <v>12</v>
      </c>
      <c r="I182" s="956"/>
      <c r="J182" s="956"/>
      <c r="K182" s="957"/>
      <c r="L182" s="957">
        <f t="shared" ref="L182:N183" si="95">L185+L188</f>
        <v>0</v>
      </c>
      <c r="M182" s="957">
        <f t="shared" si="95"/>
        <v>0</v>
      </c>
      <c r="N182" s="957">
        <f t="shared" si="95"/>
        <v>0</v>
      </c>
      <c r="O182" s="957">
        <f t="shared" si="93"/>
        <v>0</v>
      </c>
      <c r="P182" s="957">
        <f t="shared" si="94"/>
        <v>0</v>
      </c>
      <c r="Q182" s="943"/>
      <c r="R182" s="943"/>
      <c r="S182" s="943"/>
      <c r="T182" s="943"/>
      <c r="U182" s="943"/>
      <c r="V182" s="943"/>
      <c r="W182" s="943"/>
      <c r="X182" s="943"/>
      <c r="Y182" s="943"/>
      <c r="Z182" s="943"/>
    </row>
    <row r="183" spans="1:26" ht="18.75" hidden="1">
      <c r="A183" s="1072"/>
      <c r="B183" s="952"/>
      <c r="C183" s="952"/>
      <c r="D183" s="952"/>
      <c r="E183" s="953" t="s">
        <v>19</v>
      </c>
      <c r="F183" s="952"/>
      <c r="G183" s="1073"/>
      <c r="H183" s="1074" t="s">
        <v>12</v>
      </c>
      <c r="I183" s="956"/>
      <c r="J183" s="956"/>
      <c r="K183" s="957"/>
      <c r="L183" s="957">
        <f t="shared" ca="1" si="95"/>
        <v>193000</v>
      </c>
      <c r="M183" s="957">
        <f t="shared" ca="1" si="95"/>
        <v>148250</v>
      </c>
      <c r="N183" s="957">
        <f t="shared" ca="1" si="95"/>
        <v>119919.34</v>
      </c>
      <c r="O183" s="957">
        <f t="shared" ca="1" si="93"/>
        <v>62.134373056994818</v>
      </c>
      <c r="P183" s="957">
        <f t="shared" ca="1" si="94"/>
        <v>80.889942664418214</v>
      </c>
      <c r="Q183" s="943"/>
      <c r="R183" s="943"/>
      <c r="S183" s="943"/>
      <c r="T183" s="943"/>
      <c r="U183" s="943"/>
      <c r="V183" s="943"/>
      <c r="W183" s="943"/>
      <c r="X183" s="943"/>
      <c r="Y183" s="943"/>
      <c r="Z183" s="943"/>
    </row>
    <row r="184" spans="1:26" ht="18.75">
      <c r="A184" s="1075"/>
      <c r="B184" s="945"/>
      <c r="C184" s="1076"/>
      <c r="D184" s="946" t="s">
        <v>20</v>
      </c>
      <c r="E184" s="945"/>
      <c r="F184" s="945"/>
      <c r="G184" s="947"/>
      <c r="H184" s="1077" t="s">
        <v>12</v>
      </c>
      <c r="I184" s="1078"/>
      <c r="J184" s="1078"/>
      <c r="K184" s="1079"/>
      <c r="L184" s="950">
        <f t="shared" ref="L184:N184" ca="1" si="96">L185+L186</f>
        <v>193000</v>
      </c>
      <c r="M184" s="950">
        <f t="shared" ca="1" si="96"/>
        <v>148250</v>
      </c>
      <c r="N184" s="950">
        <f t="shared" ca="1" si="96"/>
        <v>119919.34</v>
      </c>
      <c r="O184" s="950">
        <f t="shared" ca="1" si="93"/>
        <v>62.134373056994818</v>
      </c>
      <c r="P184" s="950">
        <f t="shared" ca="1" si="94"/>
        <v>80.889942664418214</v>
      </c>
      <c r="Q184" s="935"/>
      <c r="R184" s="935"/>
      <c r="S184" s="935"/>
      <c r="T184" s="935"/>
      <c r="U184" s="935"/>
      <c r="V184" s="935"/>
      <c r="W184" s="935"/>
      <c r="X184" s="935"/>
      <c r="Y184" s="935"/>
      <c r="Z184" s="935"/>
    </row>
    <row r="185" spans="1:26" ht="19.5" hidden="1">
      <c r="A185" s="1072"/>
      <c r="B185" s="952"/>
      <c r="C185" s="1080"/>
      <c r="D185" s="952"/>
      <c r="E185" s="953" t="s">
        <v>36</v>
      </c>
      <c r="F185" s="952"/>
      <c r="G185" s="1073"/>
      <c r="H185" s="1081" t="s">
        <v>12</v>
      </c>
      <c r="I185" s="1082"/>
      <c r="J185" s="1082"/>
      <c r="K185" s="1083"/>
      <c r="L185" s="957">
        <v>0</v>
      </c>
      <c r="M185" s="957">
        <v>0</v>
      </c>
      <c r="N185" s="957">
        <v>0</v>
      </c>
      <c r="O185" s="957">
        <f t="shared" si="93"/>
        <v>0</v>
      </c>
      <c r="P185" s="957">
        <f t="shared" si="94"/>
        <v>0</v>
      </c>
      <c r="Q185" s="943"/>
      <c r="R185" s="943"/>
      <c r="S185" s="943"/>
      <c r="T185" s="943"/>
      <c r="U185" s="943"/>
      <c r="V185" s="943"/>
      <c r="W185" s="943"/>
      <c r="X185" s="943"/>
      <c r="Y185" s="943"/>
      <c r="Z185" s="943"/>
    </row>
    <row r="186" spans="1:26" ht="19.5" hidden="1">
      <c r="A186" s="1072"/>
      <c r="B186" s="952"/>
      <c r="C186" s="1080"/>
      <c r="D186" s="952"/>
      <c r="E186" s="953" t="s">
        <v>37</v>
      </c>
      <c r="F186" s="952"/>
      <c r="G186" s="1073"/>
      <c r="H186" s="1081" t="s">
        <v>12</v>
      </c>
      <c r="I186" s="1082"/>
      <c r="J186" s="1082"/>
      <c r="K186" s="1083"/>
      <c r="L186" s="957">
        <f ca="1">IFERROR(__xludf.DUMMYFUNCTION("IMPORTRANGE(""https://docs.google.com/spreadsheets/d/1MeEWN-I1oV_STSDYn1IFDPWt_1FKiwhDph83XaGc0o0/edit?usp=sharing"",""งบพรบ!CO62"")"),193000)</f>
        <v>193000</v>
      </c>
      <c r="M186" s="957">
        <f ca="1">IFERROR(__xludf.DUMMYFUNCTION("IMPORTRANGE(""https://docs.google.com/spreadsheets/d/1MeEWN-I1oV_STSDYn1IFDPWt_1FKiwhDph83XaGc0o0/edit?usp=sharing"",""งบพรบ!CT62"")"),148250)</f>
        <v>148250</v>
      </c>
      <c r="N186" s="957">
        <f ca="1">IFERROR(__xludf.DUMMYFUNCTION("IMPORTRANGE(""https://docs.google.com/spreadsheets/d/1MeEWN-I1oV_STSDYn1IFDPWt_1FKiwhDph83XaGc0o0/edit?usp=sharing"",""งบพรบ!CV62"")"),119919.34)</f>
        <v>119919.34</v>
      </c>
      <c r="O186" s="957">
        <f t="shared" ca="1" si="93"/>
        <v>62.134373056994818</v>
      </c>
      <c r="P186" s="957">
        <f t="shared" ca="1" si="94"/>
        <v>80.889942664418214</v>
      </c>
      <c r="Q186" s="943"/>
      <c r="R186" s="943"/>
      <c r="S186" s="943"/>
      <c r="T186" s="943"/>
      <c r="U186" s="943"/>
      <c r="V186" s="943"/>
      <c r="W186" s="943"/>
      <c r="X186" s="943"/>
      <c r="Y186" s="943"/>
      <c r="Z186" s="943"/>
    </row>
    <row r="187" spans="1:26" ht="18.75">
      <c r="A187" s="1075"/>
      <c r="B187" s="945"/>
      <c r="C187" s="1076"/>
      <c r="D187" s="946" t="s">
        <v>21</v>
      </c>
      <c r="E187" s="945"/>
      <c r="F187" s="945"/>
      <c r="G187" s="947"/>
      <c r="H187" s="1084" t="s">
        <v>12</v>
      </c>
      <c r="I187" s="1078"/>
      <c r="J187" s="1078"/>
      <c r="K187" s="1079"/>
      <c r="L187" s="950">
        <f t="shared" ref="L187:N187" ca="1" si="97">L188+L189</f>
        <v>0</v>
      </c>
      <c r="M187" s="950">
        <f t="shared" ca="1" si="97"/>
        <v>0</v>
      </c>
      <c r="N187" s="950">
        <f t="shared" ca="1" si="97"/>
        <v>0</v>
      </c>
      <c r="O187" s="950">
        <f t="shared" ca="1" si="93"/>
        <v>0</v>
      </c>
      <c r="P187" s="950">
        <f t="shared" ca="1" si="94"/>
        <v>0</v>
      </c>
      <c r="Q187" s="935"/>
      <c r="R187" s="935"/>
      <c r="S187" s="935"/>
      <c r="T187" s="935"/>
      <c r="U187" s="935"/>
      <c r="V187" s="935"/>
      <c r="W187" s="935"/>
      <c r="X187" s="935"/>
      <c r="Y187" s="935"/>
      <c r="Z187" s="935"/>
    </row>
    <row r="188" spans="1:26" ht="19.5" hidden="1">
      <c r="A188" s="1072"/>
      <c r="B188" s="952"/>
      <c r="C188" s="1080"/>
      <c r="D188" s="952"/>
      <c r="E188" s="953" t="s">
        <v>18</v>
      </c>
      <c r="F188" s="952"/>
      <c r="G188" s="1073"/>
      <c r="H188" s="1081" t="s">
        <v>12</v>
      </c>
      <c r="I188" s="1082"/>
      <c r="J188" s="1082"/>
      <c r="K188" s="1083"/>
      <c r="L188" s="957">
        <v>0</v>
      </c>
      <c r="M188" s="957">
        <v>0</v>
      </c>
      <c r="N188" s="957">
        <v>0</v>
      </c>
      <c r="O188" s="957">
        <f t="shared" si="93"/>
        <v>0</v>
      </c>
      <c r="P188" s="957">
        <f t="shared" si="94"/>
        <v>0</v>
      </c>
      <c r="Q188" s="943"/>
      <c r="R188" s="943"/>
      <c r="S188" s="943"/>
      <c r="T188" s="943"/>
      <c r="U188" s="943"/>
      <c r="V188" s="943"/>
      <c r="W188" s="943"/>
      <c r="X188" s="943"/>
      <c r="Y188" s="943"/>
      <c r="Z188" s="943"/>
    </row>
    <row r="189" spans="1:26" ht="19.5" hidden="1">
      <c r="A189" s="1072"/>
      <c r="B189" s="952"/>
      <c r="C189" s="1080"/>
      <c r="D189" s="952"/>
      <c r="E189" s="953" t="s">
        <v>19</v>
      </c>
      <c r="F189" s="952"/>
      <c r="G189" s="1073"/>
      <c r="H189" s="1085" t="s">
        <v>12</v>
      </c>
      <c r="I189" s="1082"/>
      <c r="J189" s="1082"/>
      <c r="K189" s="1083"/>
      <c r="L189" s="957">
        <f ca="1">IFERROR(__xludf.DUMMYFUNCTION("IMPORTRANGE(""https://docs.google.com/spreadsheets/d/1MeEWN-I1oV_STSDYn1IFDPWt_1FKiwhDph83XaGc0o0/edit?usp=sharing"",""งบพรบ!CR62"")"),0)</f>
        <v>0</v>
      </c>
      <c r="M189" s="957">
        <f ca="1">IFERROR(__xludf.DUMMYFUNCTION("IMPORTRANGE(""https://docs.google.com/spreadsheets/d/1MeEWN-I1oV_STSDYn1IFDPWt_1FKiwhDph83XaGc0o0/edit?usp=sharing"",""งบพรบ!CU62"")"),0)</f>
        <v>0</v>
      </c>
      <c r="N189" s="957">
        <f ca="1">IFERROR(__xludf.DUMMYFUNCTION("IMPORTRANGE(""https://docs.google.com/spreadsheets/d/1MeEWN-I1oV_STSDYn1IFDPWt_1FKiwhDph83XaGc0o0/edit?usp=sharing"",""งบพรบ!CW62"")"),0)</f>
        <v>0</v>
      </c>
      <c r="O189" s="957">
        <f t="shared" ca="1" si="93"/>
        <v>0</v>
      </c>
      <c r="P189" s="957">
        <f t="shared" ca="1" si="94"/>
        <v>0</v>
      </c>
      <c r="Q189" s="943"/>
      <c r="R189" s="943"/>
      <c r="S189" s="943"/>
      <c r="T189" s="943"/>
      <c r="U189" s="943"/>
      <c r="V189" s="943"/>
      <c r="W189" s="943"/>
      <c r="X189" s="943"/>
      <c r="Y189" s="943"/>
      <c r="Z189" s="943"/>
    </row>
    <row r="190" spans="1:26" ht="19.5">
      <c r="A190" s="1161"/>
      <c r="B190" s="1169"/>
      <c r="C190" s="1175" t="s">
        <v>89</v>
      </c>
      <c r="D190" s="1162"/>
      <c r="E190" s="1162"/>
      <c r="F190" s="1162"/>
      <c r="G190" s="1164"/>
      <c r="H190" s="1165" t="s">
        <v>90</v>
      </c>
      <c r="I190" s="1176">
        <f t="shared" ref="I190:J190" ca="1" si="98">I193</f>
        <v>4</v>
      </c>
      <c r="J190" s="1176">
        <f t="shared" si="98"/>
        <v>2</v>
      </c>
      <c r="K190" s="1177">
        <f ca="1">IF(I190&gt;0,J190*100/I190,0)</f>
        <v>50</v>
      </c>
      <c r="L190" s="1167"/>
      <c r="M190" s="1167"/>
      <c r="N190" s="1167"/>
      <c r="O190" s="1167"/>
      <c r="P190" s="1167"/>
    </row>
    <row r="191" spans="1:26" ht="19.5">
      <c r="A191" s="1063"/>
      <c r="B191" s="1064"/>
      <c r="C191" s="1065" t="s">
        <v>16</v>
      </c>
      <c r="D191" s="1178" t="s">
        <v>17</v>
      </c>
      <c r="E191" s="1064"/>
      <c r="F191" s="1064"/>
      <c r="G191" s="1067"/>
      <c r="H191" s="1179" t="s">
        <v>12</v>
      </c>
      <c r="I191" s="1069"/>
      <c r="J191" s="1069"/>
      <c r="K191" s="1070"/>
      <c r="L191" s="1071">
        <f ca="1">IFERROR(__xludf.DUMMYFUNCTION("IMPORTRANGE(""https://docs.google.com/spreadsheets/d/1QqKyyYR6Q21VydFLVH3TRQUabQu_ym0Zz7PgGX0-kHA/edit?usp=sharing"",""แผน!Z62"")"),6000)</f>
        <v>6000</v>
      </c>
      <c r="M191" s="1071"/>
      <c r="N191" s="1180">
        <v>2190</v>
      </c>
      <c r="O191" s="1071">
        <f ca="1">IF(L191&gt;0,N191*100/L191,0)</f>
        <v>36.5</v>
      </c>
      <c r="P191" s="1071">
        <f>IF(M191&gt;0,N191*100/M191,0)</f>
        <v>0</v>
      </c>
      <c r="Q191" s="935"/>
      <c r="R191" s="935"/>
      <c r="S191" s="935"/>
      <c r="T191" s="935"/>
      <c r="U191" s="935"/>
      <c r="V191" s="935"/>
      <c r="W191" s="935"/>
      <c r="X191" s="935"/>
      <c r="Y191" s="935"/>
      <c r="Z191" s="935"/>
    </row>
    <row r="192" spans="1:26" ht="19.5">
      <c r="A192" s="1086"/>
      <c r="B192" s="1087"/>
      <c r="C192" s="1121" t="s">
        <v>16</v>
      </c>
      <c r="D192" s="1088" t="s">
        <v>38</v>
      </c>
      <c r="E192" s="1089"/>
      <c r="F192" s="1089"/>
      <c r="G192" s="1090"/>
      <c r="H192" s="1091"/>
      <c r="I192" s="949"/>
      <c r="J192" s="949"/>
      <c r="K192" s="950"/>
      <c r="L192" s="950"/>
      <c r="M192" s="950"/>
      <c r="N192" s="950"/>
      <c r="O192" s="950"/>
      <c r="P192" s="950"/>
      <c r="Q192" s="935"/>
      <c r="R192" s="935"/>
      <c r="S192" s="935"/>
      <c r="T192" s="935"/>
      <c r="U192" s="935"/>
      <c r="V192" s="935"/>
      <c r="W192" s="935"/>
      <c r="X192" s="935"/>
      <c r="Y192" s="935"/>
      <c r="Z192" s="935"/>
    </row>
    <row r="193" spans="1:26" ht="18.75">
      <c r="A193" s="1086"/>
      <c r="B193" s="1087"/>
      <c r="C193" s="1087"/>
      <c r="D193" s="1093" t="s">
        <v>91</v>
      </c>
      <c r="E193" s="1094"/>
      <c r="F193" s="1094"/>
      <c r="G193" s="1095"/>
      <c r="H193" s="1097" t="s">
        <v>90</v>
      </c>
      <c r="I193" s="949">
        <f ca="1">IFERROR(__xludf.DUMMYFUNCTION("IMPORTRANGE(""https://docs.google.com/spreadsheets/d/1QqKyyYR6Q21VydFLVH3TRQUabQu_ym0Zz7PgGX0-kHA/edit?usp=sharing"",""แผน!AC62"")"),4)</f>
        <v>4</v>
      </c>
      <c r="J193" s="1098">
        <v>2</v>
      </c>
      <c r="K193" s="950">
        <f ca="1">IF(I193&gt;0,J193*100/I193,0)</f>
        <v>50</v>
      </c>
      <c r="L193" s="950"/>
      <c r="M193" s="950"/>
      <c r="N193" s="950"/>
      <c r="O193" s="950"/>
      <c r="P193" s="950"/>
      <c r="Q193" s="935"/>
      <c r="R193" s="935"/>
      <c r="S193" s="935"/>
      <c r="T193" s="935"/>
      <c r="U193" s="935"/>
      <c r="V193" s="935"/>
      <c r="W193" s="935"/>
      <c r="X193" s="935"/>
      <c r="Y193" s="935"/>
      <c r="Z193" s="935"/>
    </row>
    <row r="194" spans="1:26" ht="18.75">
      <c r="A194" s="1086"/>
      <c r="B194" s="1087"/>
      <c r="C194" s="1087"/>
      <c r="D194" s="1093" t="s">
        <v>92</v>
      </c>
      <c r="E194" s="1094"/>
      <c r="F194" s="1094"/>
      <c r="G194" s="1095"/>
      <c r="H194" s="1181" t="s">
        <v>35</v>
      </c>
      <c r="I194" s="949"/>
      <c r="J194" s="949">
        <f>J195+J196</f>
        <v>65</v>
      </c>
      <c r="K194" s="950"/>
      <c r="L194" s="950"/>
      <c r="M194" s="950"/>
      <c r="N194" s="950"/>
      <c r="O194" s="950"/>
      <c r="P194" s="950"/>
      <c r="Q194" s="935"/>
      <c r="R194" s="935"/>
      <c r="S194" s="935"/>
      <c r="T194" s="935"/>
      <c r="U194" s="935"/>
      <c r="V194" s="935"/>
      <c r="W194" s="935"/>
      <c r="X194" s="935"/>
      <c r="Y194" s="935"/>
      <c r="Z194" s="935"/>
    </row>
    <row r="195" spans="1:26" ht="18.75">
      <c r="A195" s="1086"/>
      <c r="B195" s="1087"/>
      <c r="C195" s="1087"/>
      <c r="D195" s="1087"/>
      <c r="E195" s="1093" t="s">
        <v>93</v>
      </c>
      <c r="F195" s="1094"/>
      <c r="G195" s="1095"/>
      <c r="H195" s="1181" t="s">
        <v>35</v>
      </c>
      <c r="I195" s="949"/>
      <c r="J195" s="1098">
        <v>65</v>
      </c>
      <c r="K195" s="950"/>
      <c r="L195" s="950"/>
      <c r="M195" s="950"/>
      <c r="N195" s="950"/>
      <c r="O195" s="950"/>
      <c r="P195" s="950"/>
      <c r="Q195" s="935"/>
      <c r="R195" s="935"/>
      <c r="S195" s="935"/>
      <c r="T195" s="935"/>
      <c r="U195" s="935"/>
      <c r="V195" s="935"/>
      <c r="W195" s="935"/>
      <c r="X195" s="935"/>
      <c r="Y195" s="935"/>
      <c r="Z195" s="935"/>
    </row>
    <row r="196" spans="1:26" ht="18.75">
      <c r="A196" s="1086"/>
      <c r="B196" s="1087"/>
      <c r="C196" s="1087"/>
      <c r="D196" s="1087"/>
      <c r="E196" s="1093" t="s">
        <v>94</v>
      </c>
      <c r="F196" s="1094"/>
      <c r="G196" s="1095"/>
      <c r="H196" s="1181" t="s">
        <v>35</v>
      </c>
      <c r="I196" s="949"/>
      <c r="J196" s="1098">
        <v>0</v>
      </c>
      <c r="K196" s="950"/>
      <c r="L196" s="950"/>
      <c r="M196" s="950"/>
      <c r="N196" s="950"/>
      <c r="O196" s="950"/>
      <c r="P196" s="950"/>
      <c r="Q196" s="935"/>
      <c r="R196" s="935"/>
      <c r="S196" s="935"/>
      <c r="T196" s="935"/>
      <c r="U196" s="935"/>
      <c r="V196" s="935"/>
      <c r="W196" s="935"/>
      <c r="X196" s="935"/>
      <c r="Y196" s="935"/>
      <c r="Z196" s="935"/>
    </row>
    <row r="197" spans="1:26" ht="19.5">
      <c r="A197" s="1161"/>
      <c r="B197" s="1169"/>
      <c r="C197" s="1175" t="s">
        <v>95</v>
      </c>
      <c r="D197" s="1162"/>
      <c r="E197" s="1162"/>
      <c r="F197" s="1162"/>
      <c r="G197" s="1164"/>
      <c r="H197" s="1182" t="s">
        <v>96</v>
      </c>
      <c r="I197" s="1176">
        <f t="shared" ref="I197:J197" ca="1" si="99">I204</f>
        <v>2</v>
      </c>
      <c r="J197" s="1176">
        <f t="shared" si="99"/>
        <v>2</v>
      </c>
      <c r="K197" s="1177">
        <f ca="1">IF(I197&gt;0,J197*100/I197,0)</f>
        <v>100</v>
      </c>
      <c r="L197" s="1167"/>
      <c r="M197" s="1167"/>
      <c r="N197" s="1167"/>
      <c r="O197" s="1167"/>
      <c r="P197" s="1167"/>
    </row>
    <row r="198" spans="1:26" ht="19.5">
      <c r="A198" s="1063"/>
      <c r="B198" s="1064"/>
      <c r="C198" s="1065" t="s">
        <v>16</v>
      </c>
      <c r="D198" s="1178" t="s">
        <v>17</v>
      </c>
      <c r="E198" s="1064"/>
      <c r="F198" s="1064"/>
      <c r="G198" s="1067"/>
      <c r="H198" s="1179" t="s">
        <v>12</v>
      </c>
      <c r="I198" s="1183"/>
      <c r="J198" s="1183"/>
      <c r="K198" s="1184"/>
      <c r="L198" s="1071">
        <f ca="1">L199+L200+L201+L202</f>
        <v>26000</v>
      </c>
      <c r="M198" s="1071"/>
      <c r="N198" s="1071">
        <f>N199+N200+N201+N202</f>
        <v>17135</v>
      </c>
      <c r="O198" s="1071">
        <f ca="1">IF(L198&gt;0,N198*100/L198,0)</f>
        <v>65.90384615384616</v>
      </c>
      <c r="P198" s="1071">
        <f>IF(M198&gt;0,N198*100/M198,0)</f>
        <v>0</v>
      </c>
      <c r="Q198" s="935"/>
      <c r="R198" s="935"/>
      <c r="S198" s="935"/>
      <c r="T198" s="935"/>
      <c r="U198" s="935"/>
      <c r="V198" s="935"/>
      <c r="W198" s="935"/>
      <c r="X198" s="935"/>
      <c r="Y198" s="935"/>
      <c r="Z198" s="935"/>
    </row>
    <row r="199" spans="1:26" ht="18.75">
      <c r="A199" s="1075"/>
      <c r="B199" s="1185"/>
      <c r="C199" s="945"/>
      <c r="D199" s="1076" t="s">
        <v>97</v>
      </c>
      <c r="E199" s="945"/>
      <c r="F199" s="945"/>
      <c r="G199" s="947"/>
      <c r="H199" s="1077" t="s">
        <v>12</v>
      </c>
      <c r="I199" s="1078"/>
      <c r="J199" s="1078"/>
      <c r="K199" s="1079"/>
      <c r="L199" s="950">
        <f ca="1">IFERROR(__xludf.DUMMYFUNCTION("IMPORTRANGE(""https://docs.google.com/spreadsheets/d/1QqKyyYR6Q21VydFLVH3TRQUabQu_ym0Zz7PgGX0-kHA/edit?usp=sharing"",""แผน!AE62"")"),2000)</f>
        <v>2000</v>
      </c>
      <c r="M199" s="950"/>
      <c r="N199" s="1186">
        <v>1135</v>
      </c>
      <c r="O199" s="950"/>
      <c r="P199" s="950"/>
      <c r="Q199" s="935"/>
      <c r="R199" s="935"/>
      <c r="S199" s="935"/>
      <c r="T199" s="935"/>
      <c r="U199" s="935"/>
      <c r="V199" s="935"/>
      <c r="W199" s="935"/>
      <c r="X199" s="935"/>
      <c r="Y199" s="935"/>
      <c r="Z199" s="935"/>
    </row>
    <row r="200" spans="1:26" ht="19.5">
      <c r="A200" s="1187"/>
      <c r="B200" s="1185"/>
      <c r="C200" s="1121"/>
      <c r="D200" s="1076" t="s">
        <v>98</v>
      </c>
      <c r="E200" s="945"/>
      <c r="F200" s="945"/>
      <c r="G200" s="947"/>
      <c r="H200" s="948" t="s">
        <v>12</v>
      </c>
      <c r="I200" s="949"/>
      <c r="J200" s="949"/>
      <c r="K200" s="950"/>
      <c r="L200" s="950">
        <f ca="1">IFERROR(__xludf.DUMMYFUNCTION("IMPORTRANGE(""https://docs.google.com/spreadsheets/d/1QqKyyYR6Q21VydFLVH3TRQUabQu_ym0Zz7PgGX0-kHA/edit?usp=sharing"",""แผน!AF62"")"),16000)</f>
        <v>16000</v>
      </c>
      <c r="M200" s="950"/>
      <c r="N200" s="1186">
        <v>16000</v>
      </c>
      <c r="O200" s="950"/>
      <c r="P200" s="950"/>
      <c r="Q200" s="1188"/>
      <c r="R200" s="1188"/>
      <c r="S200" s="1188"/>
      <c r="T200" s="1188"/>
      <c r="U200" s="1188"/>
      <c r="V200" s="1188"/>
      <c r="W200" s="1188"/>
      <c r="X200" s="1188"/>
      <c r="Y200" s="1188"/>
      <c r="Z200" s="1188"/>
    </row>
    <row r="201" spans="1:26" ht="19.5">
      <c r="A201" s="1187"/>
      <c r="B201" s="1185"/>
      <c r="C201" s="1121"/>
      <c r="D201" s="1076" t="s">
        <v>99</v>
      </c>
      <c r="E201" s="945"/>
      <c r="F201" s="945"/>
      <c r="G201" s="947"/>
      <c r="H201" s="948" t="s">
        <v>12</v>
      </c>
      <c r="I201" s="949"/>
      <c r="J201" s="949"/>
      <c r="K201" s="950"/>
      <c r="L201" s="950">
        <f ca="1">IFERROR(__xludf.DUMMYFUNCTION("IMPORTRANGE(""https://docs.google.com/spreadsheets/d/1QqKyyYR6Q21VydFLVH3TRQUabQu_ym0Zz7PgGX0-kHA/edit?usp=sharing"",""แผน!AG62"")"),8000)</f>
        <v>8000</v>
      </c>
      <c r="M201" s="950"/>
      <c r="N201" s="1186">
        <v>0</v>
      </c>
      <c r="O201" s="950"/>
      <c r="P201" s="950"/>
      <c r="Q201" s="1188"/>
      <c r="R201" s="1188"/>
      <c r="S201" s="1188"/>
      <c r="T201" s="1188"/>
      <c r="U201" s="1188"/>
      <c r="V201" s="1188"/>
      <c r="W201" s="1188"/>
      <c r="X201" s="1188"/>
      <c r="Y201" s="1188"/>
      <c r="Z201" s="1188"/>
    </row>
    <row r="202" spans="1:26" ht="19.5">
      <c r="A202" s="1187"/>
      <c r="B202" s="1185"/>
      <c r="C202" s="1121"/>
      <c r="D202" s="1076" t="s">
        <v>100</v>
      </c>
      <c r="E202" s="945"/>
      <c r="F202" s="945"/>
      <c r="G202" s="947"/>
      <c r="H202" s="948" t="s">
        <v>12</v>
      </c>
      <c r="I202" s="949"/>
      <c r="J202" s="949"/>
      <c r="K202" s="950"/>
      <c r="L202" s="950">
        <f ca="1">IFERROR(__xludf.DUMMYFUNCTION("IMPORTRANGE(""https://docs.google.com/spreadsheets/d/1QqKyyYR6Q21VydFLVH3TRQUabQu_ym0Zz7PgGX0-kHA/edit?usp=sharing"",""แผน!AH62"")"),0)</f>
        <v>0</v>
      </c>
      <c r="M202" s="950"/>
      <c r="N202" s="1186">
        <v>0</v>
      </c>
      <c r="O202" s="950"/>
      <c r="P202" s="950"/>
      <c r="Q202" s="1188"/>
      <c r="R202" s="1188"/>
      <c r="S202" s="1188"/>
      <c r="T202" s="1188"/>
      <c r="U202" s="1188"/>
      <c r="V202" s="1188"/>
      <c r="W202" s="1188"/>
      <c r="X202" s="1188"/>
      <c r="Y202" s="1188"/>
      <c r="Z202" s="1188"/>
    </row>
    <row r="203" spans="1:26" ht="19.5">
      <c r="A203" s="1086"/>
      <c r="B203" s="1087"/>
      <c r="C203" s="1121" t="s">
        <v>16</v>
      </c>
      <c r="D203" s="1088" t="s">
        <v>38</v>
      </c>
      <c r="E203" s="1089"/>
      <c r="F203" s="1089"/>
      <c r="G203" s="1090"/>
      <c r="H203" s="1091"/>
      <c r="I203" s="1078"/>
      <c r="J203" s="1078"/>
      <c r="K203" s="1079"/>
      <c r="L203" s="1079"/>
      <c r="M203" s="1079"/>
      <c r="N203" s="1079"/>
      <c r="O203" s="1079"/>
      <c r="P203" s="1079"/>
      <c r="Q203" s="935"/>
      <c r="R203" s="935"/>
      <c r="S203" s="935"/>
      <c r="T203" s="935"/>
      <c r="U203" s="935"/>
      <c r="V203" s="935"/>
      <c r="W203" s="935"/>
      <c r="X203" s="935"/>
      <c r="Y203" s="935"/>
      <c r="Z203" s="935"/>
    </row>
    <row r="204" spans="1:26" ht="18.75">
      <c r="A204" s="1086"/>
      <c r="B204" s="1087"/>
      <c r="C204" s="1087"/>
      <c r="D204" s="1092" t="s">
        <v>101</v>
      </c>
      <c r="E204" s="1094"/>
      <c r="F204" s="1094"/>
      <c r="G204" s="1095"/>
      <c r="H204" s="1091" t="s">
        <v>96</v>
      </c>
      <c r="I204" s="949">
        <f ca="1">IFERROR(__xludf.DUMMYFUNCTION("IMPORTRANGE(""https://docs.google.com/spreadsheets/d/1QqKyyYR6Q21VydFLVH3TRQUabQu_ym0Zz7PgGX0-kHA/edit?usp=sharing"",""แผน!AI62"")"),2)</f>
        <v>2</v>
      </c>
      <c r="J204" s="1098">
        <v>2</v>
      </c>
      <c r="K204" s="1079">
        <f ca="1">IF(I204&gt;0,J204*100/I204,0)</f>
        <v>100</v>
      </c>
      <c r="L204" s="950"/>
      <c r="M204" s="950"/>
      <c r="N204" s="950"/>
      <c r="O204" s="950"/>
      <c r="P204" s="950"/>
      <c r="Q204" s="935"/>
      <c r="R204" s="935"/>
      <c r="S204" s="935"/>
      <c r="T204" s="935"/>
      <c r="U204" s="935"/>
      <c r="V204" s="935"/>
      <c r="W204" s="935"/>
      <c r="X204" s="935"/>
      <c r="Y204" s="935"/>
      <c r="Z204" s="935"/>
    </row>
    <row r="205" spans="1:26" ht="18.75">
      <c r="A205" s="1086"/>
      <c r="B205" s="1087"/>
      <c r="C205" s="1087"/>
      <c r="D205" s="1093" t="s">
        <v>59</v>
      </c>
      <c r="E205" s="1094"/>
      <c r="F205" s="1094"/>
      <c r="G205" s="1095"/>
      <c r="H205" s="1091"/>
      <c r="I205" s="949"/>
      <c r="J205" s="949"/>
      <c r="K205" s="1079"/>
      <c r="L205" s="950"/>
      <c r="M205" s="950"/>
      <c r="N205" s="950"/>
      <c r="O205" s="950"/>
      <c r="P205" s="950"/>
      <c r="Q205" s="935"/>
      <c r="R205" s="935"/>
      <c r="S205" s="935"/>
      <c r="T205" s="935"/>
      <c r="U205" s="935"/>
      <c r="V205" s="935"/>
      <c r="W205" s="935"/>
      <c r="X205" s="935"/>
      <c r="Y205" s="935"/>
      <c r="Z205" s="935"/>
    </row>
    <row r="206" spans="1:26" ht="18.75">
      <c r="A206" s="1086"/>
      <c r="B206" s="1087"/>
      <c r="C206" s="1087"/>
      <c r="D206" s="1094"/>
      <c r="E206" s="1110" t="s">
        <v>102</v>
      </c>
      <c r="F206" s="1189"/>
      <c r="G206" s="1190"/>
      <c r="H206" s="1191" t="s">
        <v>96</v>
      </c>
      <c r="I206" s="949">
        <v>2</v>
      </c>
      <c r="J206" s="1098">
        <v>2</v>
      </c>
      <c r="K206" s="1079">
        <f t="shared" ref="K206:K208" si="100">IF(I206&gt;0,J206*100/I206,0)</f>
        <v>100</v>
      </c>
      <c r="L206" s="950"/>
      <c r="M206" s="950"/>
      <c r="N206" s="950"/>
      <c r="O206" s="950"/>
      <c r="P206" s="950"/>
      <c r="Q206" s="935"/>
      <c r="R206" s="935"/>
      <c r="S206" s="935"/>
      <c r="T206" s="935"/>
      <c r="U206" s="935"/>
      <c r="V206" s="935"/>
      <c r="W206" s="935"/>
      <c r="X206" s="935"/>
      <c r="Y206" s="935"/>
      <c r="Z206" s="935"/>
    </row>
    <row r="207" spans="1:26" ht="18.75">
      <c r="A207" s="1086"/>
      <c r="B207" s="1087"/>
      <c r="C207" s="1087"/>
      <c r="D207" s="1093"/>
      <c r="E207" s="1093" t="s">
        <v>103</v>
      </c>
      <c r="F207" s="1094"/>
      <c r="G207" s="1094"/>
      <c r="H207" s="1192" t="s">
        <v>104</v>
      </c>
      <c r="I207" s="949">
        <v>0</v>
      </c>
      <c r="J207" s="1098">
        <v>0</v>
      </c>
      <c r="K207" s="1079">
        <f t="shared" si="100"/>
        <v>0</v>
      </c>
      <c r="L207" s="950"/>
      <c r="M207" s="950"/>
      <c r="N207" s="950"/>
      <c r="O207" s="950"/>
      <c r="P207" s="950"/>
      <c r="Q207" s="935"/>
      <c r="R207" s="935"/>
      <c r="S207" s="935"/>
      <c r="T207" s="935"/>
      <c r="U207" s="935"/>
      <c r="V207" s="935"/>
      <c r="W207" s="935"/>
      <c r="X207" s="935"/>
      <c r="Y207" s="935"/>
      <c r="Z207" s="935"/>
    </row>
    <row r="208" spans="1:26" ht="19.5" hidden="1">
      <c r="A208" s="1161"/>
      <c r="B208" s="1169"/>
      <c r="C208" s="1175" t="s">
        <v>105</v>
      </c>
      <c r="D208" s="1162"/>
      <c r="E208" s="1162"/>
      <c r="F208" s="1193"/>
      <c r="G208" s="1164"/>
      <c r="H208" s="1182" t="s">
        <v>96</v>
      </c>
      <c r="I208" s="1176">
        <f t="shared" ref="I208:J208" ca="1" si="101">I215</f>
        <v>0</v>
      </c>
      <c r="J208" s="1176">
        <f t="shared" si="101"/>
        <v>0</v>
      </c>
      <c r="K208" s="1177">
        <f t="shared" ca="1" si="100"/>
        <v>0</v>
      </c>
      <c r="L208" s="1167"/>
      <c r="M208" s="1167"/>
      <c r="N208" s="1167"/>
      <c r="O208" s="1167"/>
      <c r="P208" s="1167"/>
    </row>
    <row r="209" spans="1:26" ht="19.5" hidden="1">
      <c r="A209" s="1063"/>
      <c r="B209" s="1064"/>
      <c r="C209" s="1065" t="s">
        <v>16</v>
      </c>
      <c r="D209" s="1178" t="s">
        <v>17</v>
      </c>
      <c r="E209" s="1064"/>
      <c r="F209" s="1064"/>
      <c r="G209" s="1067"/>
      <c r="H209" s="1179" t="s">
        <v>12</v>
      </c>
      <c r="I209" s="1183"/>
      <c r="J209" s="1183"/>
      <c r="K209" s="1184"/>
      <c r="L209" s="1071">
        <f ca="1">L210+L211+L212</f>
        <v>0</v>
      </c>
      <c r="M209" s="1071"/>
      <c r="N209" s="1071">
        <f>N210+N211+N212</f>
        <v>0</v>
      </c>
      <c r="O209" s="1071">
        <f ca="1">IF(L209&gt;0,N209*100/L209,0)</f>
        <v>0</v>
      </c>
      <c r="P209" s="1071">
        <f>IF(M209&gt;0,N209*100/M209,0)</f>
        <v>0</v>
      </c>
      <c r="Q209" s="935"/>
      <c r="R209" s="935"/>
      <c r="S209" s="935"/>
      <c r="T209" s="935"/>
      <c r="U209" s="935"/>
      <c r="V209" s="935"/>
      <c r="W209" s="935"/>
      <c r="X209" s="935"/>
      <c r="Y209" s="935"/>
      <c r="Z209" s="935"/>
    </row>
    <row r="210" spans="1:26" ht="18.75" hidden="1">
      <c r="A210" s="1075"/>
      <c r="B210" s="1185"/>
      <c r="C210" s="945"/>
      <c r="D210" s="1076" t="s">
        <v>97</v>
      </c>
      <c r="E210" s="945"/>
      <c r="F210" s="945"/>
      <c r="G210" s="947"/>
      <c r="H210" s="1077" t="s">
        <v>12</v>
      </c>
      <c r="I210" s="1078"/>
      <c r="J210" s="1078"/>
      <c r="K210" s="1079"/>
      <c r="L210" s="950">
        <f ca="1">IFERROR(__xludf.DUMMYFUNCTION("IMPORTRANGE(""https://docs.google.com/spreadsheets/d/1QqKyyYR6Q21VydFLVH3TRQUabQu_ym0Zz7PgGX0-kHA/edit?usp=sharing"",""แผน!AK62"")"),0)</f>
        <v>0</v>
      </c>
      <c r="M210" s="950"/>
      <c r="N210" s="1186">
        <v>0</v>
      </c>
      <c r="O210" s="950"/>
      <c r="P210" s="950"/>
      <c r="Q210" s="935"/>
      <c r="R210" s="935"/>
      <c r="S210" s="935"/>
      <c r="T210" s="935"/>
      <c r="U210" s="935"/>
      <c r="V210" s="935"/>
      <c r="W210" s="935"/>
      <c r="X210" s="935"/>
      <c r="Y210" s="935"/>
      <c r="Z210" s="935"/>
    </row>
    <row r="211" spans="1:26" ht="19.5" hidden="1">
      <c r="A211" s="1187"/>
      <c r="B211" s="1185"/>
      <c r="C211" s="1194"/>
      <c r="D211" s="1076" t="s">
        <v>99</v>
      </c>
      <c r="E211" s="945"/>
      <c r="F211" s="945"/>
      <c r="G211" s="947"/>
      <c r="H211" s="1077" t="s">
        <v>12</v>
      </c>
      <c r="I211" s="949"/>
      <c r="J211" s="949"/>
      <c r="K211" s="950"/>
      <c r="L211" s="950">
        <f ca="1">IFERROR(__xludf.DUMMYFUNCTION("IMPORTRANGE(""https://docs.google.com/spreadsheets/d/1QqKyyYR6Q21VydFLVH3TRQUabQu_ym0Zz7PgGX0-kHA/edit?usp=sharing"",""แผน!AL62"")"),0)</f>
        <v>0</v>
      </c>
      <c r="M211" s="950"/>
      <c r="N211" s="1186">
        <v>0</v>
      </c>
      <c r="O211" s="950"/>
      <c r="P211" s="950"/>
      <c r="Q211" s="1188"/>
      <c r="R211" s="1188"/>
      <c r="S211" s="1188"/>
      <c r="T211" s="1188"/>
      <c r="U211" s="1188"/>
      <c r="V211" s="1188"/>
      <c r="W211" s="1188"/>
      <c r="X211" s="1188"/>
      <c r="Y211" s="1188"/>
      <c r="Z211" s="1188"/>
    </row>
    <row r="212" spans="1:26" ht="19.5" hidden="1">
      <c r="A212" s="1187"/>
      <c r="B212" s="1185"/>
      <c r="C212" s="1194"/>
      <c r="D212" s="1076" t="s">
        <v>98</v>
      </c>
      <c r="E212" s="945"/>
      <c r="F212" s="945"/>
      <c r="G212" s="947"/>
      <c r="H212" s="1077" t="s">
        <v>12</v>
      </c>
      <c r="I212" s="949"/>
      <c r="J212" s="949"/>
      <c r="K212" s="950"/>
      <c r="L212" s="950">
        <f ca="1">IFERROR(__xludf.DUMMYFUNCTION("IMPORTRANGE(""https://docs.google.com/spreadsheets/d/1QqKyyYR6Q21VydFLVH3TRQUabQu_ym0Zz7PgGX0-kHA/edit?usp=sharing"",""แผน!AM62"")"),0)</f>
        <v>0</v>
      </c>
      <c r="M212" s="950"/>
      <c r="N212" s="1186">
        <v>0</v>
      </c>
      <c r="O212" s="950"/>
      <c r="P212" s="950"/>
      <c r="Q212" s="1188"/>
      <c r="R212" s="1188"/>
      <c r="S212" s="1188"/>
      <c r="T212" s="1188"/>
      <c r="U212" s="1188"/>
      <c r="V212" s="1188"/>
      <c r="W212" s="1188"/>
      <c r="X212" s="1188"/>
      <c r="Y212" s="1188"/>
      <c r="Z212" s="1188"/>
    </row>
    <row r="213" spans="1:26" ht="19.5" hidden="1">
      <c r="A213" s="1086"/>
      <c r="B213" s="1087"/>
      <c r="C213" s="1194" t="s">
        <v>16</v>
      </c>
      <c r="D213" s="1088" t="s">
        <v>38</v>
      </c>
      <c r="E213" s="1089"/>
      <c r="F213" s="1089"/>
      <c r="G213" s="1090"/>
      <c r="H213" s="1091"/>
      <c r="I213" s="1078"/>
      <c r="J213" s="949"/>
      <c r="K213" s="950"/>
      <c r="L213" s="950"/>
      <c r="M213" s="950"/>
      <c r="N213" s="950"/>
      <c r="O213" s="1079"/>
      <c r="P213" s="1079"/>
      <c r="Q213" s="935"/>
      <c r="R213" s="935"/>
      <c r="S213" s="935"/>
      <c r="T213" s="935"/>
      <c r="U213" s="935"/>
      <c r="V213" s="935"/>
      <c r="W213" s="935"/>
      <c r="X213" s="935"/>
      <c r="Y213" s="935"/>
      <c r="Z213" s="935"/>
    </row>
    <row r="214" spans="1:26" ht="18.75" hidden="1">
      <c r="A214" s="1086"/>
      <c r="B214" s="1087"/>
      <c r="C214" s="1087"/>
      <c r="D214" s="1092" t="s">
        <v>106</v>
      </c>
      <c r="E214" s="1094"/>
      <c r="F214" s="1094"/>
      <c r="G214" s="1095"/>
      <c r="H214" s="1091" t="s">
        <v>96</v>
      </c>
      <c r="I214" s="949">
        <f ca="1">IFERROR(__xludf.DUMMYFUNCTION("IMPORTRANGE(""https://docs.google.com/spreadsheets/d/1QqKyyYR6Q21VydFLVH3TRQUabQu_ym0Zz7PgGX0-kHA/edit?usp=sharing"",""แผน!AN62"")"),0)</f>
        <v>0</v>
      </c>
      <c r="J214" s="1098">
        <v>0</v>
      </c>
      <c r="K214" s="950">
        <f t="shared" ref="K214:K216" ca="1" si="102">IF(I214&gt;0,J214*100/I214,0)</f>
        <v>0</v>
      </c>
      <c r="L214" s="950"/>
      <c r="M214" s="950"/>
      <c r="N214" s="950"/>
      <c r="O214" s="950"/>
      <c r="P214" s="950"/>
      <c r="Q214" s="935"/>
      <c r="R214" s="935"/>
      <c r="S214" s="935"/>
      <c r="T214" s="935"/>
      <c r="U214" s="935"/>
      <c r="V214" s="935"/>
      <c r="W214" s="935"/>
      <c r="X214" s="935"/>
      <c r="Y214" s="935"/>
      <c r="Z214" s="935"/>
    </row>
    <row r="215" spans="1:26" ht="18.75" hidden="1">
      <c r="A215" s="1086"/>
      <c r="B215" s="1087"/>
      <c r="C215" s="1087"/>
      <c r="D215" s="1092" t="s">
        <v>107</v>
      </c>
      <c r="E215" s="1094"/>
      <c r="F215" s="1094"/>
      <c r="G215" s="1095"/>
      <c r="H215" s="1091" t="s">
        <v>96</v>
      </c>
      <c r="I215" s="949">
        <f ca="1">IFERROR(__xludf.DUMMYFUNCTION("IMPORTRANGE(""https://docs.google.com/spreadsheets/d/1QqKyyYR6Q21VydFLVH3TRQUabQu_ym0Zz7PgGX0-kHA/edit?usp=sharing"",""แผน!AN62"")"),0)</f>
        <v>0</v>
      </c>
      <c r="J215" s="1098">
        <v>0</v>
      </c>
      <c r="K215" s="950">
        <f t="shared" ca="1" si="102"/>
        <v>0</v>
      </c>
      <c r="L215" s="950"/>
      <c r="M215" s="950"/>
      <c r="N215" s="950"/>
      <c r="O215" s="950"/>
      <c r="P215" s="950"/>
      <c r="Q215" s="935"/>
      <c r="R215" s="935"/>
      <c r="S215" s="935"/>
      <c r="T215" s="935"/>
      <c r="U215" s="935"/>
      <c r="V215" s="935"/>
      <c r="W215" s="935"/>
      <c r="X215" s="935"/>
      <c r="Y215" s="935"/>
      <c r="Z215" s="935"/>
    </row>
    <row r="216" spans="1:26" ht="19.5">
      <c r="A216" s="1161"/>
      <c r="B216" s="1169"/>
      <c r="C216" s="1175" t="s">
        <v>108</v>
      </c>
      <c r="D216" s="1162"/>
      <c r="E216" s="1162"/>
      <c r="F216" s="1193"/>
      <c r="G216" s="1164"/>
      <c r="H216" s="1165" t="s">
        <v>109</v>
      </c>
      <c r="I216" s="1176">
        <f t="shared" ref="I216:J216" ca="1" si="103">I224</f>
        <v>20000</v>
      </c>
      <c r="J216" s="1176">
        <f t="shared" si="103"/>
        <v>0</v>
      </c>
      <c r="K216" s="1177">
        <f t="shared" ca="1" si="102"/>
        <v>0</v>
      </c>
      <c r="L216" s="1167"/>
      <c r="M216" s="1167"/>
      <c r="N216" s="1167"/>
      <c r="O216" s="1167"/>
      <c r="P216" s="1167"/>
    </row>
    <row r="217" spans="1:26" ht="19.5">
      <c r="A217" s="1063"/>
      <c r="B217" s="1064"/>
      <c r="C217" s="1065" t="s">
        <v>16</v>
      </c>
      <c r="D217" s="1178" t="s">
        <v>17</v>
      </c>
      <c r="E217" s="1064"/>
      <c r="F217" s="1064"/>
      <c r="G217" s="1067"/>
      <c r="H217" s="1179" t="s">
        <v>12</v>
      </c>
      <c r="I217" s="1183"/>
      <c r="J217" s="1183"/>
      <c r="K217" s="1184"/>
      <c r="L217" s="1071">
        <f ca="1">L218+L219+L220</f>
        <v>8000</v>
      </c>
      <c r="M217" s="1071"/>
      <c r="N217" s="1071">
        <f>N218+N219+N220</f>
        <v>0</v>
      </c>
      <c r="O217" s="1071">
        <f ca="1">IF(L217&gt;0,N217*100/L217,0)</f>
        <v>0</v>
      </c>
      <c r="P217" s="1071">
        <f>IF(M217&gt;0,N217*100/M217,0)</f>
        <v>0</v>
      </c>
      <c r="Q217" s="935"/>
      <c r="R217" s="935"/>
      <c r="S217" s="935"/>
      <c r="T217" s="935"/>
      <c r="U217" s="935"/>
      <c r="V217" s="935"/>
      <c r="W217" s="935"/>
      <c r="X217" s="935"/>
      <c r="Y217" s="935"/>
      <c r="Z217" s="935"/>
    </row>
    <row r="218" spans="1:26" ht="18.75">
      <c r="A218" s="1075"/>
      <c r="B218" s="1185"/>
      <c r="C218" s="945"/>
      <c r="D218" s="1076" t="s">
        <v>97</v>
      </c>
      <c r="E218" s="945"/>
      <c r="F218" s="945"/>
      <c r="G218" s="947"/>
      <c r="H218" s="1077" t="s">
        <v>12</v>
      </c>
      <c r="I218" s="1078"/>
      <c r="J218" s="1078"/>
      <c r="K218" s="1079"/>
      <c r="L218" s="950">
        <f ca="1">IFERROR(__xludf.DUMMYFUNCTION("IMPORTRANGE(""https://docs.google.com/spreadsheets/d/1QqKyyYR6Q21VydFLVH3TRQUabQu_ym0Zz7PgGX0-kHA/edit?usp=sharing"",""แผน!AP62"")"),3000)</f>
        <v>3000</v>
      </c>
      <c r="M218" s="950"/>
      <c r="N218" s="1186">
        <v>0</v>
      </c>
      <c r="O218" s="950"/>
      <c r="P218" s="950"/>
      <c r="Q218" s="935"/>
      <c r="R218" s="935"/>
      <c r="S218" s="935"/>
      <c r="T218" s="935"/>
      <c r="U218" s="935"/>
      <c r="V218" s="935"/>
      <c r="W218" s="935"/>
      <c r="X218" s="935"/>
      <c r="Y218" s="935"/>
      <c r="Z218" s="935"/>
    </row>
    <row r="219" spans="1:26" ht="19.5">
      <c r="A219" s="1187"/>
      <c r="B219" s="1185"/>
      <c r="C219" s="1194"/>
      <c r="D219" s="1076" t="s">
        <v>110</v>
      </c>
      <c r="E219" s="945"/>
      <c r="F219" s="945"/>
      <c r="G219" s="947"/>
      <c r="H219" s="1077" t="s">
        <v>12</v>
      </c>
      <c r="I219" s="949"/>
      <c r="J219" s="949"/>
      <c r="K219" s="950"/>
      <c r="L219" s="950">
        <f ca="1">IFERROR(__xludf.DUMMYFUNCTION("IMPORTRANGE(""https://docs.google.com/spreadsheets/d/1QqKyyYR6Q21VydFLVH3TRQUabQu_ym0Zz7PgGX0-kHA/edit?usp=sharing"",""แผน!AQ62"")"),5000)</f>
        <v>5000</v>
      </c>
      <c r="M219" s="950"/>
      <c r="N219" s="1186">
        <v>0</v>
      </c>
      <c r="O219" s="950"/>
      <c r="P219" s="950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</row>
    <row r="220" spans="1:26" ht="19.5">
      <c r="A220" s="1187"/>
      <c r="B220" s="1185"/>
      <c r="C220" s="1194"/>
      <c r="D220" s="1076" t="s">
        <v>98</v>
      </c>
      <c r="E220" s="945"/>
      <c r="F220" s="945"/>
      <c r="G220" s="947"/>
      <c r="H220" s="1077" t="s">
        <v>12</v>
      </c>
      <c r="I220" s="949"/>
      <c r="J220" s="949"/>
      <c r="K220" s="950"/>
      <c r="L220" s="950">
        <f ca="1">IFERROR(__xludf.DUMMYFUNCTION("IMPORTRANGE(""https://docs.google.com/spreadsheets/d/1QqKyyYR6Q21VydFLVH3TRQUabQu_ym0Zz7PgGX0-kHA/edit?usp=sharing"",""แผน!AR62"")"),0)</f>
        <v>0</v>
      </c>
      <c r="M220" s="950"/>
      <c r="N220" s="1186">
        <v>0</v>
      </c>
      <c r="O220" s="950"/>
      <c r="P220" s="950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</row>
    <row r="221" spans="1:26" ht="19.5">
      <c r="A221" s="1086"/>
      <c r="B221" s="1087"/>
      <c r="C221" s="1194" t="s">
        <v>16</v>
      </c>
      <c r="D221" s="1088" t="s">
        <v>38</v>
      </c>
      <c r="E221" s="1089"/>
      <c r="F221" s="1089"/>
      <c r="G221" s="1090"/>
      <c r="H221" s="1091"/>
      <c r="I221" s="1078"/>
      <c r="J221" s="1078"/>
      <c r="K221" s="1079"/>
      <c r="L221" s="1079"/>
      <c r="M221" s="1079"/>
      <c r="N221" s="1079"/>
      <c r="O221" s="1079"/>
      <c r="P221" s="1079"/>
      <c r="Q221" s="935"/>
      <c r="R221" s="935"/>
      <c r="S221" s="935"/>
      <c r="T221" s="935"/>
      <c r="U221" s="935"/>
      <c r="V221" s="935"/>
      <c r="W221" s="935"/>
      <c r="X221" s="935"/>
      <c r="Y221" s="935"/>
      <c r="Z221" s="935"/>
    </row>
    <row r="222" spans="1:26" ht="18.75">
      <c r="A222" s="1086"/>
      <c r="B222" s="1087"/>
      <c r="C222" s="1087"/>
      <c r="D222" s="1076" t="s">
        <v>111</v>
      </c>
      <c r="E222" s="1094"/>
      <c r="F222" s="1094"/>
      <c r="G222" s="1095"/>
      <c r="H222" s="1091"/>
      <c r="I222" s="949"/>
      <c r="J222" s="949"/>
      <c r="K222" s="1079"/>
      <c r="L222" s="1079"/>
      <c r="M222" s="1079"/>
      <c r="N222" s="1079"/>
      <c r="O222" s="1079"/>
      <c r="P222" s="1079"/>
      <c r="Q222" s="935"/>
      <c r="R222" s="935"/>
      <c r="S222" s="935"/>
      <c r="T222" s="935"/>
      <c r="U222" s="935"/>
      <c r="V222" s="935"/>
      <c r="W222" s="935"/>
      <c r="X222" s="935"/>
      <c r="Y222" s="935"/>
      <c r="Z222" s="935"/>
    </row>
    <row r="223" spans="1:26" ht="18.75">
      <c r="A223" s="1086"/>
      <c r="B223" s="1087"/>
      <c r="C223" s="1087"/>
      <c r="D223" s="1087"/>
      <c r="E223" s="1092" t="s">
        <v>112</v>
      </c>
      <c r="F223" s="1094"/>
      <c r="G223" s="1095"/>
      <c r="H223" s="1097" t="s">
        <v>109</v>
      </c>
      <c r="I223" s="949">
        <f ca="1">IFERROR(__xludf.DUMMYFUNCTION("IMPORTRANGE(""https://docs.google.com/spreadsheets/d/1QqKyyYR6Q21VydFLVH3TRQUabQu_ym0Zz7PgGX0-kHA/edit?usp=sharing"",""แผน!AT62"")"),20000)</f>
        <v>20000</v>
      </c>
      <c r="J223" s="1098">
        <v>0</v>
      </c>
      <c r="K223" s="1079">
        <f t="shared" ref="K223:K226" ca="1" si="104">IF(I223&gt;0,J223*100/I223,0)</f>
        <v>0</v>
      </c>
      <c r="L223" s="1079"/>
      <c r="M223" s="1079"/>
      <c r="N223" s="1079"/>
      <c r="O223" s="1079"/>
      <c r="P223" s="1079"/>
      <c r="Q223" s="935"/>
      <c r="R223" s="935"/>
      <c r="S223" s="935"/>
      <c r="T223" s="935"/>
      <c r="U223" s="935"/>
      <c r="V223" s="935"/>
      <c r="W223" s="935"/>
      <c r="X223" s="935"/>
      <c r="Y223" s="935"/>
      <c r="Z223" s="935"/>
    </row>
    <row r="224" spans="1:26" ht="18.75">
      <c r="A224" s="1086"/>
      <c r="B224" s="1087"/>
      <c r="C224" s="1087"/>
      <c r="D224" s="1087"/>
      <c r="E224" s="1092" t="s">
        <v>113</v>
      </c>
      <c r="F224" s="1094"/>
      <c r="G224" s="1095"/>
      <c r="H224" s="1097" t="s">
        <v>109</v>
      </c>
      <c r="I224" s="949">
        <f ca="1">IFERROR(__xludf.DUMMYFUNCTION("IMPORTRANGE(""https://docs.google.com/spreadsheets/d/1QqKyyYR6Q21VydFLVH3TRQUabQu_ym0Zz7PgGX0-kHA/edit?usp=sharing"",""แผน!AT62"")"),20000)</f>
        <v>20000</v>
      </c>
      <c r="J224" s="1098">
        <v>0</v>
      </c>
      <c r="K224" s="1079">
        <f t="shared" ca="1" si="104"/>
        <v>0</v>
      </c>
      <c r="L224" s="950"/>
      <c r="M224" s="950"/>
      <c r="N224" s="950"/>
      <c r="O224" s="950"/>
      <c r="P224" s="950"/>
      <c r="Q224" s="935"/>
      <c r="R224" s="935"/>
      <c r="S224" s="935"/>
      <c r="T224" s="935"/>
      <c r="U224" s="935"/>
      <c r="V224" s="935"/>
      <c r="W224" s="935"/>
      <c r="X224" s="935"/>
      <c r="Y224" s="935"/>
      <c r="Z224" s="935"/>
    </row>
    <row r="225" spans="1:26" ht="18.75">
      <c r="A225" s="1086"/>
      <c r="B225" s="1087"/>
      <c r="C225" s="1087"/>
      <c r="D225" s="1076" t="s">
        <v>114</v>
      </c>
      <c r="E225" s="1094"/>
      <c r="F225" s="1094"/>
      <c r="G225" s="1095"/>
      <c r="H225" s="1097" t="s">
        <v>35</v>
      </c>
      <c r="I225" s="949">
        <f ca="1">IFERROR(__xludf.DUMMYFUNCTION("IMPORTRANGE(""https://docs.google.com/spreadsheets/d/1QqKyyYR6Q21VydFLVH3TRQUabQu_ym0Zz7PgGX0-kHA/edit?usp=sharing"",""แผน!AS62"")"),0)</f>
        <v>0</v>
      </c>
      <c r="J225" s="1098">
        <v>0</v>
      </c>
      <c r="K225" s="1079">
        <f t="shared" ca="1" si="104"/>
        <v>0</v>
      </c>
      <c r="L225" s="950"/>
      <c r="M225" s="950"/>
      <c r="N225" s="950"/>
      <c r="O225" s="950"/>
      <c r="P225" s="950"/>
      <c r="Q225" s="935"/>
      <c r="R225" s="935"/>
      <c r="S225" s="935"/>
      <c r="T225" s="935"/>
      <c r="U225" s="935"/>
      <c r="V225" s="935"/>
      <c r="W225" s="935"/>
      <c r="X225" s="935"/>
      <c r="Y225" s="935"/>
      <c r="Z225" s="935"/>
    </row>
    <row r="226" spans="1:26" ht="19.5" hidden="1">
      <c r="A226" s="1161"/>
      <c r="B226" s="1169"/>
      <c r="C226" s="1195" t="s">
        <v>115</v>
      </c>
      <c r="D226" s="1162"/>
      <c r="E226" s="1162"/>
      <c r="F226" s="1162"/>
      <c r="G226" s="1164"/>
      <c r="H226" s="1171" t="s">
        <v>35</v>
      </c>
      <c r="I226" s="1196" t="e">
        <f t="shared" ref="I226:J226" ca="1" si="105">I237+I248</f>
        <v>#VALUE!</v>
      </c>
      <c r="J226" s="1196">
        <f t="shared" si="105"/>
        <v>0</v>
      </c>
      <c r="K226" s="1197" t="e">
        <f t="shared" ca="1" si="104"/>
        <v>#VALUE!</v>
      </c>
      <c r="L226" s="1167"/>
      <c r="M226" s="1167"/>
      <c r="N226" s="1167"/>
      <c r="O226" s="1167"/>
      <c r="P226" s="1167"/>
    </row>
    <row r="227" spans="1:26" ht="19.5" hidden="1">
      <c r="A227" s="1198"/>
      <c r="B227" s="1199"/>
      <c r="C227" s="1200" t="s">
        <v>16</v>
      </c>
      <c r="D227" s="1201" t="s">
        <v>17</v>
      </c>
      <c r="E227" s="1199"/>
      <c r="F227" s="1199"/>
      <c r="G227" s="1202"/>
      <c r="H227" s="1203" t="s">
        <v>12</v>
      </c>
      <c r="I227" s="1204"/>
      <c r="J227" s="1204"/>
      <c r="K227" s="1205"/>
      <c r="L227" s="1206">
        <f t="shared" ref="L227:L231" ca="1" si="106">L238+L249</f>
        <v>0</v>
      </c>
      <c r="M227" s="1206"/>
      <c r="N227" s="1206">
        <f t="shared" ref="N227:N231" si="107">N238+N249</f>
        <v>0</v>
      </c>
      <c r="O227" s="1207"/>
      <c r="P227" s="1207"/>
      <c r="Q227" s="943"/>
      <c r="R227" s="943"/>
      <c r="S227" s="943"/>
      <c r="T227" s="943"/>
      <c r="U227" s="943"/>
      <c r="V227" s="943"/>
      <c r="W227" s="943"/>
      <c r="X227" s="943"/>
      <c r="Y227" s="943"/>
      <c r="Z227" s="943"/>
    </row>
    <row r="228" spans="1:26" ht="18.75" hidden="1">
      <c r="A228" s="1072"/>
      <c r="B228" s="1208"/>
      <c r="C228" s="952"/>
      <c r="D228" s="953" t="s">
        <v>97</v>
      </c>
      <c r="E228" s="952"/>
      <c r="F228" s="952"/>
      <c r="G228" s="954"/>
      <c r="H228" s="1081" t="s">
        <v>12</v>
      </c>
      <c r="I228" s="1082"/>
      <c r="J228" s="1082"/>
      <c r="K228" s="1083"/>
      <c r="L228" s="957">
        <f t="shared" ca="1" si="106"/>
        <v>0</v>
      </c>
      <c r="M228" s="957"/>
      <c r="N228" s="957">
        <f t="shared" si="107"/>
        <v>0</v>
      </c>
      <c r="O228" s="957"/>
      <c r="P228" s="957"/>
      <c r="Q228" s="943"/>
      <c r="R228" s="943"/>
      <c r="S228" s="943"/>
      <c r="T228" s="943"/>
      <c r="U228" s="943"/>
      <c r="V228" s="943"/>
      <c r="W228" s="943"/>
      <c r="X228" s="943"/>
      <c r="Y228" s="943"/>
      <c r="Z228" s="943"/>
    </row>
    <row r="229" spans="1:26" ht="19.5" hidden="1">
      <c r="A229" s="1209"/>
      <c r="B229" s="1208"/>
      <c r="C229" s="1210"/>
      <c r="D229" s="953" t="s">
        <v>98</v>
      </c>
      <c r="E229" s="952"/>
      <c r="F229" s="952"/>
      <c r="G229" s="954"/>
      <c r="H229" s="1081" t="s">
        <v>12</v>
      </c>
      <c r="I229" s="956"/>
      <c r="J229" s="956"/>
      <c r="K229" s="957"/>
      <c r="L229" s="957">
        <f t="shared" ca="1" si="106"/>
        <v>0</v>
      </c>
      <c r="M229" s="957"/>
      <c r="N229" s="957">
        <f t="shared" si="107"/>
        <v>0</v>
      </c>
      <c r="O229" s="957"/>
      <c r="P229" s="957"/>
      <c r="Q229" s="1211"/>
      <c r="R229" s="1211"/>
      <c r="S229" s="1211"/>
      <c r="T229" s="1211"/>
      <c r="U229" s="1211"/>
      <c r="V229" s="1211"/>
      <c r="W229" s="1211"/>
      <c r="X229" s="1211"/>
      <c r="Y229" s="1211"/>
      <c r="Z229" s="1211"/>
    </row>
    <row r="230" spans="1:26" ht="19.5" hidden="1">
      <c r="A230" s="1209"/>
      <c r="B230" s="1208"/>
      <c r="C230" s="1210"/>
      <c r="D230" s="953" t="s">
        <v>116</v>
      </c>
      <c r="E230" s="952"/>
      <c r="F230" s="952"/>
      <c r="G230" s="954"/>
      <c r="H230" s="1081" t="s">
        <v>12</v>
      </c>
      <c r="I230" s="956"/>
      <c r="J230" s="956"/>
      <c r="K230" s="957"/>
      <c r="L230" s="957">
        <f t="shared" ca="1" si="106"/>
        <v>0</v>
      </c>
      <c r="M230" s="957"/>
      <c r="N230" s="957">
        <f t="shared" si="107"/>
        <v>0</v>
      </c>
      <c r="O230" s="957"/>
      <c r="P230" s="957"/>
      <c r="Q230" s="1211"/>
      <c r="R230" s="1211"/>
      <c r="S230" s="1211"/>
      <c r="T230" s="1211"/>
      <c r="U230" s="1211"/>
      <c r="V230" s="1211"/>
      <c r="W230" s="1211"/>
      <c r="X230" s="1211"/>
      <c r="Y230" s="1211"/>
      <c r="Z230" s="1211"/>
    </row>
    <row r="231" spans="1:26" ht="19.5" hidden="1">
      <c r="A231" s="1209"/>
      <c r="B231" s="1208"/>
      <c r="C231" s="1210"/>
      <c r="D231" s="953" t="s">
        <v>100</v>
      </c>
      <c r="E231" s="952"/>
      <c r="F231" s="952"/>
      <c r="G231" s="954"/>
      <c r="H231" s="1081" t="s">
        <v>12</v>
      </c>
      <c r="I231" s="956"/>
      <c r="J231" s="956"/>
      <c r="K231" s="957"/>
      <c r="L231" s="957">
        <f t="shared" ca="1" si="106"/>
        <v>0</v>
      </c>
      <c r="M231" s="957"/>
      <c r="N231" s="957">
        <f t="shared" si="107"/>
        <v>0</v>
      </c>
      <c r="O231" s="957"/>
      <c r="P231" s="957"/>
      <c r="Q231" s="1211"/>
      <c r="R231" s="1211"/>
      <c r="S231" s="1211"/>
      <c r="T231" s="1211"/>
      <c r="U231" s="1211"/>
      <c r="V231" s="1211"/>
      <c r="W231" s="1211"/>
      <c r="X231" s="1211"/>
      <c r="Y231" s="1211"/>
      <c r="Z231" s="1211"/>
    </row>
    <row r="232" spans="1:26" ht="19.5" hidden="1">
      <c r="A232" s="1212"/>
      <c r="B232" s="1213"/>
      <c r="C232" s="1210" t="s">
        <v>16</v>
      </c>
      <c r="D232" s="1172" t="s">
        <v>38</v>
      </c>
      <c r="E232" s="1214"/>
      <c r="F232" s="1214"/>
      <c r="G232" s="1215"/>
      <c r="H232" s="1216"/>
      <c r="I232" s="1082"/>
      <c r="J232" s="956"/>
      <c r="K232" s="957"/>
      <c r="L232" s="957"/>
      <c r="M232" s="957"/>
      <c r="N232" s="957"/>
      <c r="O232" s="1083"/>
      <c r="P232" s="1083"/>
      <c r="Q232" s="943"/>
      <c r="R232" s="943"/>
      <c r="S232" s="943"/>
      <c r="T232" s="943"/>
      <c r="U232" s="943"/>
      <c r="V232" s="943"/>
      <c r="W232" s="943"/>
      <c r="X232" s="943"/>
      <c r="Y232" s="943"/>
      <c r="Z232" s="943"/>
    </row>
    <row r="233" spans="1:26" ht="18.75" hidden="1">
      <c r="A233" s="1212"/>
      <c r="B233" s="1213"/>
      <c r="C233" s="1213"/>
      <c r="D233" s="1174" t="s">
        <v>117</v>
      </c>
      <c r="E233" s="1217"/>
      <c r="F233" s="1217"/>
      <c r="G233" s="1218"/>
      <c r="H233" s="1219" t="s">
        <v>35</v>
      </c>
      <c r="I233" s="956" t="e">
        <f t="shared" ref="I233:J233" ca="1" si="108">I244+I255</f>
        <v>#VALUE!</v>
      </c>
      <c r="J233" s="956">
        <f t="shared" si="108"/>
        <v>0</v>
      </c>
      <c r="K233" s="957" t="e">
        <f ca="1">IF(I233&gt;0,J233*100/I233,0)</f>
        <v>#VALUE!</v>
      </c>
      <c r="L233" s="957"/>
      <c r="M233" s="957"/>
      <c r="N233" s="957"/>
      <c r="O233" s="957"/>
      <c r="P233" s="957"/>
      <c r="Q233" s="943"/>
      <c r="R233" s="943"/>
      <c r="S233" s="943"/>
      <c r="T233" s="943"/>
      <c r="U233" s="943"/>
      <c r="V233" s="943"/>
      <c r="W233" s="943"/>
      <c r="X233" s="943"/>
      <c r="Y233" s="943"/>
      <c r="Z233" s="943"/>
    </row>
    <row r="234" spans="1:26" ht="18.75" hidden="1">
      <c r="A234" s="1212"/>
      <c r="B234" s="1213"/>
      <c r="C234" s="1213"/>
      <c r="D234" s="1220" t="s">
        <v>43</v>
      </c>
      <c r="E234" s="1217"/>
      <c r="F234" s="1217"/>
      <c r="G234" s="1218"/>
      <c r="H234" s="1219"/>
      <c r="I234" s="956"/>
      <c r="J234" s="956"/>
      <c r="K234" s="957"/>
      <c r="L234" s="957"/>
      <c r="M234" s="957"/>
      <c r="N234" s="957"/>
      <c r="O234" s="1083"/>
      <c r="P234" s="1083"/>
      <c r="Q234" s="943"/>
      <c r="R234" s="943"/>
      <c r="S234" s="943"/>
      <c r="T234" s="943"/>
      <c r="U234" s="943"/>
      <c r="V234" s="943"/>
      <c r="W234" s="943"/>
      <c r="X234" s="943"/>
      <c r="Y234" s="943"/>
      <c r="Z234" s="943"/>
    </row>
    <row r="235" spans="1:26" ht="18.75" hidden="1">
      <c r="A235" s="1212"/>
      <c r="B235" s="1213"/>
      <c r="C235" s="1213"/>
      <c r="D235" s="1213"/>
      <c r="E235" s="1173" t="s">
        <v>118</v>
      </c>
      <c r="F235" s="1217"/>
      <c r="G235" s="1218"/>
      <c r="H235" s="1219" t="s">
        <v>35</v>
      </c>
      <c r="I235" s="956">
        <f t="shared" ref="I235:J236" si="109">I246+I257</f>
        <v>0</v>
      </c>
      <c r="J235" s="956">
        <f t="shared" si="109"/>
        <v>0</v>
      </c>
      <c r="K235" s="957">
        <f t="shared" ref="K235:K237" si="110">IF(I235&gt;0,J235*100/I235,0)</f>
        <v>0</v>
      </c>
      <c r="L235" s="957"/>
      <c r="M235" s="957"/>
      <c r="N235" s="957"/>
      <c r="O235" s="957"/>
      <c r="P235" s="957"/>
      <c r="Q235" s="943"/>
      <c r="R235" s="943"/>
      <c r="S235" s="943"/>
      <c r="T235" s="943"/>
      <c r="U235" s="943"/>
      <c r="V235" s="943"/>
      <c r="W235" s="943"/>
      <c r="X235" s="943"/>
      <c r="Y235" s="943"/>
      <c r="Z235" s="943"/>
    </row>
    <row r="236" spans="1:26" ht="18.75" hidden="1">
      <c r="A236" s="1212"/>
      <c r="B236" s="1213"/>
      <c r="C236" s="1213"/>
      <c r="D236" s="1213"/>
      <c r="E236" s="1173" t="s">
        <v>119</v>
      </c>
      <c r="F236" s="1217"/>
      <c r="G236" s="1218"/>
      <c r="H236" s="1219" t="s">
        <v>66</v>
      </c>
      <c r="I236" s="956">
        <f t="shared" si="109"/>
        <v>0</v>
      </c>
      <c r="J236" s="956">
        <f t="shared" si="109"/>
        <v>0</v>
      </c>
      <c r="K236" s="957">
        <f t="shared" si="110"/>
        <v>0</v>
      </c>
      <c r="L236" s="957"/>
      <c r="M236" s="957"/>
      <c r="N236" s="957"/>
      <c r="O236" s="957"/>
      <c r="P236" s="957"/>
      <c r="Q236" s="943"/>
      <c r="R236" s="943"/>
      <c r="S236" s="943"/>
      <c r="T236" s="943"/>
      <c r="U236" s="943"/>
      <c r="V236" s="943"/>
      <c r="W236" s="943"/>
      <c r="X236" s="943"/>
      <c r="Y236" s="943"/>
      <c r="Z236" s="943"/>
    </row>
    <row r="237" spans="1:26" ht="19.5" hidden="1">
      <c r="A237" s="1161"/>
      <c r="B237" s="1169"/>
      <c r="C237" s="1175" t="s">
        <v>120</v>
      </c>
      <c r="D237" s="1162"/>
      <c r="E237" s="1162"/>
      <c r="F237" s="1162"/>
      <c r="G237" s="1164"/>
      <c r="H237" s="1165" t="s">
        <v>35</v>
      </c>
      <c r="I237" s="1176">
        <f t="shared" ref="I237:J237" ca="1" si="111">I244</f>
        <v>0</v>
      </c>
      <c r="J237" s="1176">
        <f t="shared" si="111"/>
        <v>0</v>
      </c>
      <c r="K237" s="1177">
        <f t="shared" ca="1" si="110"/>
        <v>0</v>
      </c>
      <c r="L237" s="1167"/>
      <c r="M237" s="1167"/>
      <c r="N237" s="1167"/>
      <c r="O237" s="1167"/>
      <c r="P237" s="1167"/>
    </row>
    <row r="238" spans="1:26" ht="19.5" hidden="1">
      <c r="A238" s="1063"/>
      <c r="B238" s="1064"/>
      <c r="C238" s="1065" t="s">
        <v>16</v>
      </c>
      <c r="D238" s="1066" t="s">
        <v>17</v>
      </c>
      <c r="E238" s="1064"/>
      <c r="F238" s="1064"/>
      <c r="G238" s="1067"/>
      <c r="H238" s="1179" t="s">
        <v>12</v>
      </c>
      <c r="I238" s="1183"/>
      <c r="J238" s="1183"/>
      <c r="K238" s="1184"/>
      <c r="L238" s="1071">
        <f ca="1">L239+L240+L241+L242</f>
        <v>0</v>
      </c>
      <c r="M238" s="1071"/>
      <c r="N238" s="1071">
        <f>N239+N240+N241+N242</f>
        <v>0</v>
      </c>
      <c r="O238" s="1071">
        <f ca="1">IF(L238&gt;0,N238*100/L238,0)</f>
        <v>0</v>
      </c>
      <c r="P238" s="1071">
        <f>IF(M238&gt;0,N238*100/M238,0)</f>
        <v>0</v>
      </c>
      <c r="Q238" s="935"/>
      <c r="R238" s="935"/>
      <c r="S238" s="935"/>
      <c r="T238" s="935"/>
      <c r="U238" s="935"/>
      <c r="V238" s="935"/>
      <c r="W238" s="935"/>
      <c r="X238" s="935"/>
      <c r="Y238" s="935"/>
      <c r="Z238" s="935"/>
    </row>
    <row r="239" spans="1:26" ht="18.75" hidden="1">
      <c r="A239" s="1221"/>
      <c r="B239" s="1222"/>
      <c r="C239" s="1223"/>
      <c r="D239" s="1224" t="s">
        <v>97</v>
      </c>
      <c r="E239" s="1223"/>
      <c r="F239" s="1223"/>
      <c r="G239" s="1225"/>
      <c r="H239" s="1226" t="s">
        <v>12</v>
      </c>
      <c r="I239" s="1227"/>
      <c r="J239" s="1227"/>
      <c r="K239" s="1228"/>
      <c r="L239" s="1229">
        <f ca="1">IFERROR(__xludf.DUMMYFUNCTION("IMPORTRANGE(""https://docs.google.com/spreadsheets/d/1QqKyyYR6Q21VydFLVH3TRQUabQu_ym0Zz7PgGX0-kHA/edit?usp=sharing"",""แผน!AV62"")"),0)</f>
        <v>0</v>
      </c>
      <c r="M239" s="1229"/>
      <c r="N239" s="1230">
        <v>0</v>
      </c>
      <c r="O239" s="1229"/>
      <c r="P239" s="1229"/>
      <c r="Q239" s="1231"/>
      <c r="R239" s="1231"/>
      <c r="S239" s="1231"/>
      <c r="T239" s="1231"/>
      <c r="U239" s="1231"/>
      <c r="V239" s="1231"/>
      <c r="W239" s="1231"/>
      <c r="X239" s="1231"/>
      <c r="Y239" s="1231"/>
      <c r="Z239" s="1231"/>
    </row>
    <row r="240" spans="1:26" ht="19.5" hidden="1">
      <c r="A240" s="1232"/>
      <c r="B240" s="1222"/>
      <c r="C240" s="1233"/>
      <c r="D240" s="1224" t="s">
        <v>98</v>
      </c>
      <c r="E240" s="1223"/>
      <c r="F240" s="1223"/>
      <c r="G240" s="1225"/>
      <c r="H240" s="1226" t="s">
        <v>12</v>
      </c>
      <c r="I240" s="1234"/>
      <c r="J240" s="1234"/>
      <c r="K240" s="1229"/>
      <c r="L240" s="1229">
        <f ca="1">IFERROR(__xludf.DUMMYFUNCTION("IMPORTRANGE(""https://docs.google.com/spreadsheets/d/1QqKyyYR6Q21VydFLVH3TRQUabQu_ym0Zz7PgGX0-kHA/edit?usp=sharing"",""แผน!AW62"")"),0)</f>
        <v>0</v>
      </c>
      <c r="M240" s="1229"/>
      <c r="N240" s="1230">
        <v>0</v>
      </c>
      <c r="O240" s="1229"/>
      <c r="P240" s="1229"/>
      <c r="Q240" s="1235"/>
      <c r="R240" s="1235"/>
      <c r="S240" s="1235"/>
      <c r="T240" s="1235"/>
      <c r="U240" s="1235"/>
      <c r="V240" s="1235"/>
      <c r="W240" s="1235"/>
      <c r="X240" s="1235"/>
      <c r="Y240" s="1235"/>
      <c r="Z240" s="1235"/>
    </row>
    <row r="241" spans="1:26" ht="19.5" hidden="1">
      <c r="A241" s="1232"/>
      <c r="B241" s="1222"/>
      <c r="C241" s="1233"/>
      <c r="D241" s="1224" t="s">
        <v>116</v>
      </c>
      <c r="E241" s="1223"/>
      <c r="F241" s="1223"/>
      <c r="G241" s="1225"/>
      <c r="H241" s="1226" t="s">
        <v>12</v>
      </c>
      <c r="I241" s="1234"/>
      <c r="J241" s="1234"/>
      <c r="K241" s="1229"/>
      <c r="L241" s="1229">
        <f ca="1">IFERROR(__xludf.DUMMYFUNCTION("IMPORTRANGE(""https://docs.google.com/spreadsheets/d/1QqKyyYR6Q21VydFLVH3TRQUabQu_ym0Zz7PgGX0-kHA/edit?usp=sharing"",""แผน!AX62"")"),0)</f>
        <v>0</v>
      </c>
      <c r="M241" s="1229"/>
      <c r="N241" s="1230">
        <v>0</v>
      </c>
      <c r="O241" s="1229"/>
      <c r="P241" s="1229"/>
      <c r="Q241" s="1235"/>
      <c r="R241" s="1235"/>
      <c r="S241" s="1235"/>
      <c r="T241" s="1235"/>
      <c r="U241" s="1235"/>
      <c r="V241" s="1235"/>
      <c r="W241" s="1235"/>
      <c r="X241" s="1235"/>
      <c r="Y241" s="1235"/>
      <c r="Z241" s="1235"/>
    </row>
    <row r="242" spans="1:26" ht="19.5" hidden="1">
      <c r="A242" s="1232"/>
      <c r="B242" s="1222"/>
      <c r="C242" s="1233"/>
      <c r="D242" s="1224" t="s">
        <v>100</v>
      </c>
      <c r="E242" s="1223"/>
      <c r="F242" s="1223"/>
      <c r="G242" s="1225"/>
      <c r="H242" s="1226" t="s">
        <v>12</v>
      </c>
      <c r="I242" s="1234"/>
      <c r="J242" s="1234"/>
      <c r="K242" s="1229"/>
      <c r="L242" s="1229">
        <f ca="1">IFERROR(__xludf.DUMMYFUNCTION("IMPORTRANGE(""https://docs.google.com/spreadsheets/d/1QqKyyYR6Q21VydFLVH3TRQUabQu_ym0Zz7PgGX0-kHA/edit?usp=sharing"",""แผน!AY62"")"),0)</f>
        <v>0</v>
      </c>
      <c r="M242" s="1229"/>
      <c r="N242" s="1230">
        <v>0</v>
      </c>
      <c r="O242" s="1229"/>
      <c r="P242" s="1229"/>
      <c r="Q242" s="1235"/>
      <c r="R242" s="1235"/>
      <c r="S242" s="1235"/>
      <c r="T242" s="1235"/>
      <c r="U242" s="1235"/>
      <c r="V242" s="1235"/>
      <c r="W242" s="1235"/>
      <c r="X242" s="1235"/>
      <c r="Y242" s="1235"/>
      <c r="Z242" s="1235"/>
    </row>
    <row r="243" spans="1:26" ht="19.5" hidden="1">
      <c r="A243" s="1086"/>
      <c r="B243" s="1087"/>
      <c r="C243" s="1194" t="s">
        <v>16</v>
      </c>
      <c r="D243" s="1088" t="s">
        <v>38</v>
      </c>
      <c r="E243" s="1089"/>
      <c r="F243" s="1089"/>
      <c r="G243" s="1090"/>
      <c r="H243" s="1091"/>
      <c r="I243" s="1078"/>
      <c r="J243" s="949"/>
      <c r="K243" s="950"/>
      <c r="L243" s="950"/>
      <c r="M243" s="950"/>
      <c r="N243" s="950"/>
      <c r="O243" s="1079"/>
      <c r="P243" s="1079"/>
      <c r="Q243" s="935"/>
      <c r="R243" s="935"/>
      <c r="S243" s="935"/>
      <c r="T243" s="935"/>
      <c r="U243" s="935"/>
      <c r="V243" s="935"/>
      <c r="W243" s="935"/>
      <c r="X243" s="935"/>
      <c r="Y243" s="935"/>
      <c r="Z243" s="935"/>
    </row>
    <row r="244" spans="1:26" ht="18.75" hidden="1">
      <c r="A244" s="1086"/>
      <c r="B244" s="1087"/>
      <c r="C244" s="1087"/>
      <c r="D244" s="1093" t="s">
        <v>117</v>
      </c>
      <c r="E244" s="1094"/>
      <c r="F244" s="1094"/>
      <c r="G244" s="1095"/>
      <c r="H244" s="1097" t="s">
        <v>35</v>
      </c>
      <c r="I244" s="949">
        <f ca="1">IFERROR(__xludf.DUMMYFUNCTION("IMPORTRANGE(""https://docs.google.com/spreadsheets/d/1QqKyyYR6Q21VydFLVH3TRQUabQu_ym0Zz7PgGX0-kHA/edit?usp=sharing"",""แผน!BE62"")"),0)</f>
        <v>0</v>
      </c>
      <c r="J244" s="1098">
        <v>0</v>
      </c>
      <c r="K244" s="950">
        <f ca="1">IF(I244&gt;0,J244*100/I244,0)</f>
        <v>0</v>
      </c>
      <c r="L244" s="950"/>
      <c r="M244" s="950"/>
      <c r="N244" s="950"/>
      <c r="O244" s="950"/>
      <c r="P244" s="950"/>
      <c r="Q244" s="935"/>
      <c r="R244" s="935"/>
      <c r="S244" s="935"/>
      <c r="T244" s="935"/>
      <c r="U244" s="935"/>
      <c r="V244" s="935"/>
      <c r="W244" s="935"/>
      <c r="X244" s="935"/>
      <c r="Y244" s="935"/>
      <c r="Z244" s="935"/>
    </row>
    <row r="245" spans="1:26" ht="18.75" hidden="1">
      <c r="A245" s="1086"/>
      <c r="B245" s="1087"/>
      <c r="C245" s="1087"/>
      <c r="D245" s="1236" t="s">
        <v>43</v>
      </c>
      <c r="E245" s="1094"/>
      <c r="F245" s="1094"/>
      <c r="G245" s="1095"/>
      <c r="H245" s="1097"/>
      <c r="I245" s="949"/>
      <c r="J245" s="949"/>
      <c r="K245" s="950"/>
      <c r="L245" s="950"/>
      <c r="M245" s="950"/>
      <c r="N245" s="950"/>
      <c r="O245" s="1079"/>
      <c r="P245" s="1079"/>
      <c r="Q245" s="935"/>
      <c r="R245" s="935"/>
      <c r="S245" s="935"/>
      <c r="T245" s="935"/>
      <c r="U245" s="935"/>
      <c r="V245" s="935"/>
      <c r="W245" s="935"/>
      <c r="X245" s="935"/>
      <c r="Y245" s="935"/>
      <c r="Z245" s="935"/>
    </row>
    <row r="246" spans="1:26" ht="18.75" hidden="1">
      <c r="A246" s="1086"/>
      <c r="B246" s="1087"/>
      <c r="C246" s="1087"/>
      <c r="D246" s="1087"/>
      <c r="E246" s="1092" t="s">
        <v>118</v>
      </c>
      <c r="F246" s="1094"/>
      <c r="G246" s="1095"/>
      <c r="H246" s="1097" t="s">
        <v>35</v>
      </c>
      <c r="I246" s="949"/>
      <c r="J246" s="1098">
        <v>0</v>
      </c>
      <c r="K246" s="950">
        <f t="shared" ref="K246:K248" si="112">IF(I246&gt;0,J246*100/I246,0)</f>
        <v>0</v>
      </c>
      <c r="L246" s="950"/>
      <c r="M246" s="950"/>
      <c r="N246" s="950"/>
      <c r="O246" s="950"/>
      <c r="P246" s="950"/>
      <c r="Q246" s="935"/>
      <c r="R246" s="935"/>
      <c r="S246" s="935"/>
      <c r="T246" s="935"/>
      <c r="U246" s="935"/>
      <c r="V246" s="935"/>
      <c r="W246" s="935"/>
      <c r="X246" s="935"/>
      <c r="Y246" s="935"/>
      <c r="Z246" s="935"/>
    </row>
    <row r="247" spans="1:26" ht="18.75" hidden="1">
      <c r="A247" s="1086"/>
      <c r="B247" s="1087"/>
      <c r="C247" s="1087"/>
      <c r="D247" s="1087"/>
      <c r="E247" s="1092" t="s">
        <v>119</v>
      </c>
      <c r="F247" s="1094"/>
      <c r="G247" s="1095"/>
      <c r="H247" s="1097" t="s">
        <v>66</v>
      </c>
      <c r="I247" s="949"/>
      <c r="J247" s="1098">
        <v>0</v>
      </c>
      <c r="K247" s="950">
        <f t="shared" si="112"/>
        <v>0</v>
      </c>
      <c r="L247" s="950"/>
      <c r="M247" s="950"/>
      <c r="N247" s="950"/>
      <c r="O247" s="950"/>
      <c r="P247" s="950"/>
      <c r="Q247" s="935"/>
      <c r="R247" s="935"/>
      <c r="S247" s="935"/>
      <c r="T247" s="935"/>
      <c r="U247" s="935"/>
      <c r="V247" s="935"/>
      <c r="W247" s="935"/>
      <c r="X247" s="935"/>
      <c r="Y247" s="935"/>
      <c r="Z247" s="935"/>
    </row>
    <row r="248" spans="1:26" ht="19.5" hidden="1">
      <c r="A248" s="1161"/>
      <c r="B248" s="1169"/>
      <c r="C248" s="1175" t="s">
        <v>121</v>
      </c>
      <c r="D248" s="1162"/>
      <c r="E248" s="1162"/>
      <c r="F248" s="1162"/>
      <c r="G248" s="1164"/>
      <c r="H248" s="1165" t="s">
        <v>35</v>
      </c>
      <c r="I248" s="1176" t="str">
        <f t="shared" ref="I248:J248" ca="1" si="113">I255</f>
        <v/>
      </c>
      <c r="J248" s="1176">
        <f t="shared" si="113"/>
        <v>0</v>
      </c>
      <c r="K248" s="1177" t="e">
        <f t="shared" ca="1" si="112"/>
        <v>#VALUE!</v>
      </c>
      <c r="L248" s="1167"/>
      <c r="M248" s="1167"/>
      <c r="N248" s="1167"/>
      <c r="O248" s="1167"/>
      <c r="P248" s="1167"/>
    </row>
    <row r="249" spans="1:26" ht="19.5" hidden="1">
      <c r="A249" s="1063"/>
      <c r="B249" s="1064"/>
      <c r="C249" s="1065" t="s">
        <v>16</v>
      </c>
      <c r="D249" s="1178" t="s">
        <v>17</v>
      </c>
      <c r="E249" s="1064"/>
      <c r="F249" s="1064"/>
      <c r="G249" s="1067"/>
      <c r="H249" s="1179" t="s">
        <v>12</v>
      </c>
      <c r="I249" s="1183"/>
      <c r="J249" s="1183"/>
      <c r="K249" s="1184"/>
      <c r="L249" s="1071">
        <f ca="1">L250+L251+L252+L253</f>
        <v>0</v>
      </c>
      <c r="M249" s="1071"/>
      <c r="N249" s="1071">
        <f>N250+N251+N252+N253</f>
        <v>0</v>
      </c>
      <c r="O249" s="1071">
        <f ca="1">IF(L249&gt;0,N249*100/L249,0)</f>
        <v>0</v>
      </c>
      <c r="P249" s="1071">
        <f>IF(M249&gt;0,N249*100/M249,0)</f>
        <v>0</v>
      </c>
      <c r="Q249" s="935"/>
      <c r="R249" s="935"/>
      <c r="S249" s="935"/>
      <c r="T249" s="935"/>
      <c r="U249" s="935"/>
      <c r="V249" s="935"/>
      <c r="W249" s="935"/>
      <c r="X249" s="935"/>
      <c r="Y249" s="935"/>
      <c r="Z249" s="935"/>
    </row>
    <row r="250" spans="1:26" ht="18.75" hidden="1">
      <c r="A250" s="1221"/>
      <c r="B250" s="1222"/>
      <c r="C250" s="1223"/>
      <c r="D250" s="1224" t="s">
        <v>97</v>
      </c>
      <c r="E250" s="1223"/>
      <c r="F250" s="1223"/>
      <c r="G250" s="1225"/>
      <c r="H250" s="1226" t="s">
        <v>12</v>
      </c>
      <c r="I250" s="1227"/>
      <c r="J250" s="1227"/>
      <c r="K250" s="1228"/>
      <c r="L250" s="1229">
        <f ca="1">IFERROR(__xludf.DUMMYFUNCTION("IMPORTRANGE(""https://docs.google.com/spreadsheets/d/1QqKyyYR6Q21VydFLVH3TRQUabQu_ym0Zz7PgGX0-kHA/edit?usp=sharing"",""แผน!AZ62"")"),0)</f>
        <v>0</v>
      </c>
      <c r="M250" s="1229"/>
      <c r="N250" s="1230">
        <v>0</v>
      </c>
      <c r="O250" s="1229"/>
      <c r="P250" s="1229"/>
      <c r="Q250" s="1231"/>
      <c r="R250" s="1231"/>
      <c r="S250" s="1231"/>
      <c r="T250" s="1231"/>
      <c r="U250" s="1231"/>
      <c r="V250" s="1231"/>
      <c r="W250" s="1231"/>
      <c r="X250" s="1231"/>
      <c r="Y250" s="1231"/>
      <c r="Z250" s="1231"/>
    </row>
    <row r="251" spans="1:26" ht="19.5" hidden="1">
      <c r="A251" s="1232"/>
      <c r="B251" s="1222"/>
      <c r="C251" s="1233"/>
      <c r="D251" s="1224" t="s">
        <v>98</v>
      </c>
      <c r="E251" s="1223"/>
      <c r="F251" s="1223"/>
      <c r="G251" s="1225"/>
      <c r="H251" s="1226" t="s">
        <v>12</v>
      </c>
      <c r="I251" s="1234"/>
      <c r="J251" s="1234"/>
      <c r="K251" s="1229"/>
      <c r="L251" s="1229">
        <f ca="1">IFERROR(__xludf.DUMMYFUNCTION("IMPORTRANGE(""https://docs.google.com/spreadsheets/d/1QqKyyYR6Q21VydFLVH3TRQUabQu_ym0Zz7PgGX0-kHA/edit?usp=sharing"",""แผน!BA62"")"),0)</f>
        <v>0</v>
      </c>
      <c r="M251" s="1229"/>
      <c r="N251" s="1230">
        <v>0</v>
      </c>
      <c r="O251" s="1229"/>
      <c r="P251" s="1229"/>
      <c r="Q251" s="1235"/>
      <c r="R251" s="1235"/>
      <c r="S251" s="1235"/>
      <c r="T251" s="1235"/>
      <c r="U251" s="1235"/>
      <c r="V251" s="1235"/>
      <c r="W251" s="1235"/>
      <c r="X251" s="1235"/>
      <c r="Y251" s="1235"/>
      <c r="Z251" s="1235"/>
    </row>
    <row r="252" spans="1:26" ht="19.5" hidden="1">
      <c r="A252" s="1232"/>
      <c r="B252" s="1222"/>
      <c r="C252" s="1233"/>
      <c r="D252" s="1224" t="s">
        <v>116</v>
      </c>
      <c r="E252" s="1223"/>
      <c r="F252" s="1223"/>
      <c r="G252" s="1225"/>
      <c r="H252" s="1226" t="s">
        <v>12</v>
      </c>
      <c r="I252" s="1234"/>
      <c r="J252" s="1234"/>
      <c r="K252" s="1229"/>
      <c r="L252" s="1229">
        <f ca="1">IFERROR(__xludf.DUMMYFUNCTION("IMPORTRANGE(""https://docs.google.com/spreadsheets/d/1QqKyyYR6Q21VydFLVH3TRQUabQu_ym0Zz7PgGX0-kHA/edit?usp=sharing"",""แผน!BB62"")"),0)</f>
        <v>0</v>
      </c>
      <c r="M252" s="1229"/>
      <c r="N252" s="1230">
        <v>0</v>
      </c>
      <c r="O252" s="1229"/>
      <c r="P252" s="1229"/>
      <c r="Q252" s="1235"/>
      <c r="R252" s="1235"/>
      <c r="S252" s="1235"/>
      <c r="T252" s="1235"/>
      <c r="U252" s="1235"/>
      <c r="V252" s="1235"/>
      <c r="W252" s="1235"/>
      <c r="X252" s="1235"/>
      <c r="Y252" s="1235"/>
      <c r="Z252" s="1235"/>
    </row>
    <row r="253" spans="1:26" ht="19.5" hidden="1">
      <c r="A253" s="1232"/>
      <c r="B253" s="1222"/>
      <c r="C253" s="1233"/>
      <c r="D253" s="1224" t="s">
        <v>100</v>
      </c>
      <c r="E253" s="1223"/>
      <c r="F253" s="1223"/>
      <c r="G253" s="1225"/>
      <c r="H253" s="1226" t="s">
        <v>12</v>
      </c>
      <c r="I253" s="1234"/>
      <c r="J253" s="1234"/>
      <c r="K253" s="1229"/>
      <c r="L253" s="1229">
        <f ca="1">IFERROR(__xludf.DUMMYFUNCTION("IMPORTRANGE(""https://docs.google.com/spreadsheets/d/1QqKyyYR6Q21VydFLVH3TRQUabQu_ym0Zz7PgGX0-kHA/edit?usp=sharing"",""แผน!BC62"")"),0)</f>
        <v>0</v>
      </c>
      <c r="M253" s="1229"/>
      <c r="N253" s="1230">
        <v>0</v>
      </c>
      <c r="O253" s="1229"/>
      <c r="P253" s="1229"/>
      <c r="Q253" s="1235"/>
      <c r="R253" s="1235"/>
      <c r="S253" s="1235"/>
      <c r="T253" s="1235"/>
      <c r="U253" s="1235"/>
      <c r="V253" s="1235"/>
      <c r="W253" s="1235"/>
      <c r="X253" s="1235"/>
      <c r="Y253" s="1235"/>
      <c r="Z253" s="1235"/>
    </row>
    <row r="254" spans="1:26" ht="19.5" hidden="1">
      <c r="A254" s="1086"/>
      <c r="B254" s="1087"/>
      <c r="C254" s="1194" t="s">
        <v>16</v>
      </c>
      <c r="D254" s="1088" t="s">
        <v>38</v>
      </c>
      <c r="E254" s="1089"/>
      <c r="F254" s="1089"/>
      <c r="G254" s="1090"/>
      <c r="H254" s="1091"/>
      <c r="I254" s="1078"/>
      <c r="J254" s="949"/>
      <c r="K254" s="950"/>
      <c r="L254" s="950"/>
      <c r="M254" s="950"/>
      <c r="N254" s="950"/>
      <c r="O254" s="1079"/>
      <c r="P254" s="1079"/>
      <c r="Q254" s="935"/>
      <c r="R254" s="935"/>
      <c r="S254" s="935"/>
      <c r="T254" s="935"/>
      <c r="U254" s="935"/>
      <c r="V254" s="935"/>
      <c r="W254" s="935"/>
      <c r="X254" s="935"/>
      <c r="Y254" s="935"/>
      <c r="Z254" s="935"/>
    </row>
    <row r="255" spans="1:26" ht="18.75" hidden="1">
      <c r="A255" s="1086"/>
      <c r="B255" s="1087"/>
      <c r="C255" s="1087"/>
      <c r="D255" s="1093" t="s">
        <v>117</v>
      </c>
      <c r="E255" s="1094"/>
      <c r="F255" s="1094"/>
      <c r="G255" s="1095"/>
      <c r="H255" s="1097" t="s">
        <v>35</v>
      </c>
      <c r="I255" s="949" t="str">
        <f ca="1">IFERROR(__xludf.DUMMYFUNCTION("IMPORTRANGE(""https://docs.google.com/spreadsheets/d/1QqKyyYR6Q21VydFLVH3TRQUabQu_ym0Zz7PgGX0-kHA/edit?usp=sharing"",""แผน!BF62"")"),"")</f>
        <v/>
      </c>
      <c r="J255" s="1098">
        <v>0</v>
      </c>
      <c r="K255" s="950" t="e">
        <f ca="1">IF(I255&gt;0,J255*100/I255,0)</f>
        <v>#VALUE!</v>
      </c>
      <c r="L255" s="950"/>
      <c r="M255" s="950"/>
      <c r="N255" s="950"/>
      <c r="O255" s="950"/>
      <c r="P255" s="950"/>
      <c r="Q255" s="935"/>
      <c r="R255" s="935"/>
      <c r="S255" s="935"/>
      <c r="T255" s="935"/>
      <c r="U255" s="935"/>
      <c r="V255" s="935"/>
      <c r="W255" s="935"/>
      <c r="X255" s="935"/>
      <c r="Y255" s="935"/>
      <c r="Z255" s="935"/>
    </row>
    <row r="256" spans="1:26" ht="18.75" hidden="1">
      <c r="A256" s="1086"/>
      <c r="B256" s="1087"/>
      <c r="C256" s="1087"/>
      <c r="D256" s="1236" t="s">
        <v>43</v>
      </c>
      <c r="E256" s="1094"/>
      <c r="F256" s="1094"/>
      <c r="G256" s="1095"/>
      <c r="H256" s="1097"/>
      <c r="I256" s="949"/>
      <c r="J256" s="949"/>
      <c r="K256" s="950"/>
      <c r="L256" s="950"/>
      <c r="M256" s="950"/>
      <c r="N256" s="950"/>
      <c r="O256" s="1079"/>
      <c r="P256" s="1079"/>
      <c r="Q256" s="935"/>
      <c r="R256" s="935"/>
      <c r="S256" s="935"/>
      <c r="T256" s="935"/>
      <c r="U256" s="935"/>
      <c r="V256" s="935"/>
      <c r="W256" s="935"/>
      <c r="X256" s="935"/>
      <c r="Y256" s="935"/>
      <c r="Z256" s="935"/>
    </row>
    <row r="257" spans="1:26" ht="18.75" hidden="1">
      <c r="A257" s="1086"/>
      <c r="B257" s="1087"/>
      <c r="C257" s="1087"/>
      <c r="D257" s="1087"/>
      <c r="E257" s="1092" t="s">
        <v>118</v>
      </c>
      <c r="F257" s="1094"/>
      <c r="G257" s="1095"/>
      <c r="H257" s="1097" t="s">
        <v>35</v>
      </c>
      <c r="I257" s="949"/>
      <c r="J257" s="1098">
        <v>0</v>
      </c>
      <c r="K257" s="950">
        <f t="shared" ref="K257:K258" si="114">IF(I257&gt;0,J257*100/I257,0)</f>
        <v>0</v>
      </c>
      <c r="L257" s="950"/>
      <c r="M257" s="950"/>
      <c r="N257" s="950"/>
      <c r="O257" s="950"/>
      <c r="P257" s="950"/>
      <c r="Q257" s="935"/>
      <c r="R257" s="935"/>
      <c r="S257" s="935"/>
      <c r="T257" s="935"/>
      <c r="U257" s="935"/>
      <c r="V257" s="935"/>
      <c r="W257" s="935"/>
      <c r="X257" s="935"/>
      <c r="Y257" s="935"/>
      <c r="Z257" s="935"/>
    </row>
    <row r="258" spans="1:26" ht="18.75" hidden="1">
      <c r="A258" s="1086"/>
      <c r="B258" s="1087"/>
      <c r="C258" s="1087"/>
      <c r="D258" s="1087"/>
      <c r="E258" s="1092" t="s">
        <v>119</v>
      </c>
      <c r="F258" s="1094"/>
      <c r="G258" s="1095"/>
      <c r="H258" s="1097" t="s">
        <v>66</v>
      </c>
      <c r="I258" s="949"/>
      <c r="J258" s="1098">
        <v>0</v>
      </c>
      <c r="K258" s="950">
        <f t="shared" si="114"/>
        <v>0</v>
      </c>
      <c r="L258" s="950"/>
      <c r="M258" s="950"/>
      <c r="N258" s="950"/>
      <c r="O258" s="950"/>
      <c r="P258" s="950"/>
      <c r="Q258" s="935"/>
      <c r="R258" s="935"/>
      <c r="S258" s="935"/>
      <c r="T258" s="935"/>
      <c r="U258" s="935"/>
      <c r="V258" s="935"/>
      <c r="W258" s="935"/>
      <c r="X258" s="935"/>
      <c r="Y258" s="935"/>
      <c r="Z258" s="935"/>
    </row>
    <row r="259" spans="1:26" ht="19.5">
      <c r="A259" s="1147" t="s">
        <v>122</v>
      </c>
      <c r="B259" s="1148"/>
      <c r="C259" s="1148"/>
      <c r="D259" s="1149"/>
      <c r="E259" s="1149"/>
      <c r="F259" s="1149"/>
      <c r="G259" s="1150"/>
      <c r="H259" s="1151"/>
      <c r="I259" s="1152"/>
      <c r="J259" s="1152"/>
      <c r="K259" s="1153"/>
      <c r="L259" s="1153"/>
      <c r="M259" s="1153"/>
      <c r="N259" s="1153"/>
      <c r="O259" s="1153"/>
      <c r="P259" s="1153"/>
    </row>
    <row r="260" spans="1:26" ht="19.5">
      <c r="A260" s="1154"/>
      <c r="B260" s="1155" t="s">
        <v>123</v>
      </c>
      <c r="C260" s="1156"/>
      <c r="D260" s="1089"/>
      <c r="E260" s="1089"/>
      <c r="F260" s="1089"/>
      <c r="G260" s="1090"/>
      <c r="H260" s="1157" t="s">
        <v>35</v>
      </c>
      <c r="I260" s="1158">
        <f t="shared" ref="I260:J260" ca="1" si="115">I271</f>
        <v>22</v>
      </c>
      <c r="J260" s="1158">
        <f t="shared" si="115"/>
        <v>0</v>
      </c>
      <c r="K260" s="1159">
        <f ca="1">IF(I260&gt;0,J260*100/I260,0)</f>
        <v>0</v>
      </c>
      <c r="L260" s="1160"/>
      <c r="M260" s="1160"/>
      <c r="N260" s="1160"/>
      <c r="O260" s="1160"/>
      <c r="P260" s="1160"/>
    </row>
    <row r="261" spans="1:26" ht="19.5">
      <c r="A261" s="1063"/>
      <c r="B261" s="1064"/>
      <c r="C261" s="1065" t="s">
        <v>16</v>
      </c>
      <c r="D261" s="1066" t="s">
        <v>17</v>
      </c>
      <c r="E261" s="1064"/>
      <c r="F261" s="1064"/>
      <c r="G261" s="1067"/>
      <c r="H261" s="1068" t="s">
        <v>12</v>
      </c>
      <c r="I261" s="1069"/>
      <c r="J261" s="1069"/>
      <c r="K261" s="1070"/>
      <c r="L261" s="1071">
        <f t="shared" ref="L261:N261" ca="1" si="116">L262+L263</f>
        <v>26900</v>
      </c>
      <c r="M261" s="1071">
        <f t="shared" ca="1" si="116"/>
        <v>23900</v>
      </c>
      <c r="N261" s="1071">
        <f t="shared" ca="1" si="116"/>
        <v>0</v>
      </c>
      <c r="O261" s="1071">
        <f t="shared" ref="O261:O269" ca="1" si="117">IF(L261&gt;0,N261*100/L261,0)</f>
        <v>0</v>
      </c>
      <c r="P261" s="1071">
        <f t="shared" ref="P261:P269" ca="1" si="118">IF(M261&gt;0,N261*100/M261,0)</f>
        <v>0</v>
      </c>
      <c r="Q261" s="935"/>
      <c r="R261" s="935"/>
      <c r="S261" s="935"/>
      <c r="T261" s="935"/>
      <c r="U261" s="935"/>
      <c r="V261" s="935"/>
      <c r="W261" s="935"/>
      <c r="X261" s="935"/>
      <c r="Y261" s="935"/>
      <c r="Z261" s="935"/>
    </row>
    <row r="262" spans="1:26" ht="18.75" hidden="1">
      <c r="A262" s="1072"/>
      <c r="B262" s="952"/>
      <c r="C262" s="952"/>
      <c r="D262" s="952"/>
      <c r="E262" s="953" t="s">
        <v>18</v>
      </c>
      <c r="F262" s="952"/>
      <c r="G262" s="1073"/>
      <c r="H262" s="1074" t="s">
        <v>12</v>
      </c>
      <c r="I262" s="956"/>
      <c r="J262" s="956"/>
      <c r="K262" s="957"/>
      <c r="L262" s="957">
        <f t="shared" ref="L262:N263" si="119">L265+L268</f>
        <v>0</v>
      </c>
      <c r="M262" s="957">
        <f t="shared" si="119"/>
        <v>0</v>
      </c>
      <c r="N262" s="957">
        <f t="shared" si="119"/>
        <v>0</v>
      </c>
      <c r="O262" s="957">
        <f t="shared" si="117"/>
        <v>0</v>
      </c>
      <c r="P262" s="957">
        <f t="shared" si="118"/>
        <v>0</v>
      </c>
      <c r="Q262" s="943"/>
      <c r="R262" s="943"/>
      <c r="S262" s="943"/>
      <c r="T262" s="943"/>
      <c r="U262" s="943"/>
      <c r="V262" s="943"/>
      <c r="W262" s="943"/>
      <c r="X262" s="943"/>
      <c r="Y262" s="943"/>
      <c r="Z262" s="943"/>
    </row>
    <row r="263" spans="1:26" ht="18.75" hidden="1">
      <c r="A263" s="1072"/>
      <c r="B263" s="952"/>
      <c r="C263" s="952"/>
      <c r="D263" s="952"/>
      <c r="E263" s="953" t="s">
        <v>19</v>
      </c>
      <c r="F263" s="952"/>
      <c r="G263" s="1073"/>
      <c r="H263" s="1074" t="s">
        <v>12</v>
      </c>
      <c r="I263" s="956"/>
      <c r="J263" s="956"/>
      <c r="K263" s="957"/>
      <c r="L263" s="957">
        <f t="shared" ca="1" si="119"/>
        <v>26900</v>
      </c>
      <c r="M263" s="957">
        <f t="shared" ca="1" si="119"/>
        <v>23900</v>
      </c>
      <c r="N263" s="957">
        <f t="shared" ca="1" si="119"/>
        <v>0</v>
      </c>
      <c r="O263" s="957">
        <f t="shared" ca="1" si="117"/>
        <v>0</v>
      </c>
      <c r="P263" s="957">
        <f t="shared" ca="1" si="118"/>
        <v>0</v>
      </c>
      <c r="Q263" s="943"/>
      <c r="R263" s="943"/>
      <c r="S263" s="943"/>
      <c r="T263" s="943"/>
      <c r="U263" s="943"/>
      <c r="V263" s="943"/>
      <c r="W263" s="943"/>
      <c r="X263" s="943"/>
      <c r="Y263" s="943"/>
      <c r="Z263" s="943"/>
    </row>
    <row r="264" spans="1:26" ht="18.75">
      <c r="A264" s="1075"/>
      <c r="B264" s="945"/>
      <c r="C264" s="1076"/>
      <c r="D264" s="946" t="s">
        <v>20</v>
      </c>
      <c r="E264" s="945"/>
      <c r="F264" s="945"/>
      <c r="G264" s="947"/>
      <c r="H264" s="1077" t="s">
        <v>12</v>
      </c>
      <c r="I264" s="1078"/>
      <c r="J264" s="1078"/>
      <c r="K264" s="1079"/>
      <c r="L264" s="950">
        <f t="shared" ref="L264:N264" ca="1" si="120">L265+L266</f>
        <v>26900</v>
      </c>
      <c r="M264" s="950">
        <f t="shared" ca="1" si="120"/>
        <v>23900</v>
      </c>
      <c r="N264" s="950">
        <f t="shared" ca="1" si="120"/>
        <v>0</v>
      </c>
      <c r="O264" s="950">
        <f t="shared" ca="1" si="117"/>
        <v>0</v>
      </c>
      <c r="P264" s="950">
        <f t="shared" ca="1" si="118"/>
        <v>0</v>
      </c>
      <c r="Q264" s="935"/>
      <c r="R264" s="935"/>
      <c r="S264" s="935"/>
      <c r="T264" s="935"/>
      <c r="U264" s="935"/>
      <c r="V264" s="935"/>
      <c r="W264" s="935"/>
      <c r="X264" s="935"/>
      <c r="Y264" s="935"/>
      <c r="Z264" s="935"/>
    </row>
    <row r="265" spans="1:26" ht="19.5" hidden="1">
      <c r="A265" s="1072"/>
      <c r="B265" s="952"/>
      <c r="C265" s="1080"/>
      <c r="D265" s="952"/>
      <c r="E265" s="953" t="s">
        <v>36</v>
      </c>
      <c r="F265" s="952"/>
      <c r="G265" s="1073"/>
      <c r="H265" s="1081" t="s">
        <v>12</v>
      </c>
      <c r="I265" s="1082"/>
      <c r="J265" s="1082"/>
      <c r="K265" s="1083"/>
      <c r="L265" s="957">
        <v>0</v>
      </c>
      <c r="M265" s="957">
        <v>0</v>
      </c>
      <c r="N265" s="957">
        <v>0</v>
      </c>
      <c r="O265" s="957">
        <f t="shared" si="117"/>
        <v>0</v>
      </c>
      <c r="P265" s="957">
        <f t="shared" si="118"/>
        <v>0</v>
      </c>
      <c r="Q265" s="943"/>
      <c r="R265" s="943"/>
      <c r="S265" s="943"/>
      <c r="T265" s="943"/>
      <c r="U265" s="943"/>
      <c r="V265" s="943"/>
      <c r="W265" s="943"/>
      <c r="X265" s="943"/>
      <c r="Y265" s="943"/>
      <c r="Z265" s="943"/>
    </row>
    <row r="266" spans="1:26" ht="19.5" hidden="1">
      <c r="A266" s="1072"/>
      <c r="B266" s="952"/>
      <c r="C266" s="1080"/>
      <c r="D266" s="952"/>
      <c r="E266" s="953" t="s">
        <v>37</v>
      </c>
      <c r="F266" s="952"/>
      <c r="G266" s="1073"/>
      <c r="H266" s="1081" t="s">
        <v>12</v>
      </c>
      <c r="I266" s="1082"/>
      <c r="J266" s="1082"/>
      <c r="K266" s="1083"/>
      <c r="L266" s="957">
        <f ca="1">IFERROR(__xludf.DUMMYFUNCTION("IMPORTRANGE(""https://docs.google.com/spreadsheets/d/1MeEWN-I1oV_STSDYn1IFDPWt_1FKiwhDph83XaGc0o0/edit?usp=sharing"",""งบพรบ!CY62"")"),26900)</f>
        <v>26900</v>
      </c>
      <c r="M266" s="957">
        <f ca="1">IFERROR(__xludf.DUMMYFUNCTION("IMPORTRANGE(""https://docs.google.com/spreadsheets/d/1MeEWN-I1oV_STSDYn1IFDPWt_1FKiwhDph83XaGc0o0/edit?usp=sharing"",""งบพรบ!DD62"")"),23900)</f>
        <v>23900</v>
      </c>
      <c r="N266" s="957">
        <f ca="1">IFERROR(__xludf.DUMMYFUNCTION("IMPORTRANGE(""https://docs.google.com/spreadsheets/d/1MeEWN-I1oV_STSDYn1IFDPWt_1FKiwhDph83XaGc0o0/edit?usp=sharing"",""งบพรบ!DF62"")"),0)</f>
        <v>0</v>
      </c>
      <c r="O266" s="957">
        <f t="shared" ca="1" si="117"/>
        <v>0</v>
      </c>
      <c r="P266" s="957">
        <f t="shared" ca="1" si="118"/>
        <v>0</v>
      </c>
      <c r="Q266" s="943"/>
      <c r="R266" s="943"/>
      <c r="S266" s="943"/>
      <c r="T266" s="943"/>
      <c r="U266" s="943"/>
      <c r="V266" s="943"/>
      <c r="W266" s="943"/>
      <c r="X266" s="943"/>
      <c r="Y266" s="943"/>
      <c r="Z266" s="943"/>
    </row>
    <row r="267" spans="1:26" ht="18.75">
      <c r="A267" s="1075"/>
      <c r="B267" s="945"/>
      <c r="C267" s="1076"/>
      <c r="D267" s="946" t="s">
        <v>21</v>
      </c>
      <c r="E267" s="945"/>
      <c r="F267" s="945"/>
      <c r="G267" s="947"/>
      <c r="H267" s="1084" t="s">
        <v>12</v>
      </c>
      <c r="I267" s="1078"/>
      <c r="J267" s="1078"/>
      <c r="K267" s="1079"/>
      <c r="L267" s="950">
        <f t="shared" ref="L267:N267" ca="1" si="121">L268+L269</f>
        <v>0</v>
      </c>
      <c r="M267" s="950">
        <f t="shared" ca="1" si="121"/>
        <v>0</v>
      </c>
      <c r="N267" s="950">
        <f t="shared" ca="1" si="121"/>
        <v>0</v>
      </c>
      <c r="O267" s="950">
        <f t="shared" ca="1" si="117"/>
        <v>0</v>
      </c>
      <c r="P267" s="950">
        <f t="shared" ca="1" si="118"/>
        <v>0</v>
      </c>
      <c r="Q267" s="935"/>
      <c r="R267" s="935"/>
      <c r="S267" s="935"/>
      <c r="T267" s="935"/>
      <c r="U267" s="935"/>
      <c r="V267" s="935"/>
      <c r="W267" s="935"/>
      <c r="X267" s="935"/>
      <c r="Y267" s="935"/>
      <c r="Z267" s="935"/>
    </row>
    <row r="268" spans="1:26" ht="19.5" hidden="1">
      <c r="A268" s="1072"/>
      <c r="B268" s="952"/>
      <c r="C268" s="1080"/>
      <c r="D268" s="952"/>
      <c r="E268" s="953" t="s">
        <v>18</v>
      </c>
      <c r="F268" s="952"/>
      <c r="G268" s="1073"/>
      <c r="H268" s="1081" t="s">
        <v>12</v>
      </c>
      <c r="I268" s="1082"/>
      <c r="J268" s="1082"/>
      <c r="K268" s="1083"/>
      <c r="L268" s="957">
        <v>0</v>
      </c>
      <c r="M268" s="957">
        <v>0</v>
      </c>
      <c r="N268" s="957">
        <v>0</v>
      </c>
      <c r="O268" s="957">
        <f t="shared" si="117"/>
        <v>0</v>
      </c>
      <c r="P268" s="957">
        <f t="shared" si="118"/>
        <v>0</v>
      </c>
      <c r="Q268" s="943"/>
      <c r="R268" s="943"/>
      <c r="S268" s="943"/>
      <c r="T268" s="943"/>
      <c r="U268" s="943"/>
      <c r="V268" s="943"/>
      <c r="W268" s="943"/>
      <c r="X268" s="943"/>
      <c r="Y268" s="943"/>
      <c r="Z268" s="943"/>
    </row>
    <row r="269" spans="1:26" ht="19.5" hidden="1">
      <c r="A269" s="1072"/>
      <c r="B269" s="952"/>
      <c r="C269" s="1080"/>
      <c r="D269" s="952"/>
      <c r="E269" s="953" t="s">
        <v>19</v>
      </c>
      <c r="F269" s="952"/>
      <c r="G269" s="1073"/>
      <c r="H269" s="1085" t="s">
        <v>12</v>
      </c>
      <c r="I269" s="1082"/>
      <c r="J269" s="1082"/>
      <c r="K269" s="1083"/>
      <c r="L269" s="957">
        <f ca="1">IFERROR(__xludf.DUMMYFUNCTION("IMPORTRANGE(""https://docs.google.com/spreadsheets/d/1MeEWN-I1oV_STSDYn1IFDPWt_1FKiwhDph83XaGc0o0/edit?usp=sharing"",""งบพรบ!DB62"")"),0)</f>
        <v>0</v>
      </c>
      <c r="M269" s="957">
        <f ca="1">IFERROR(__xludf.DUMMYFUNCTION("IMPORTRANGE(""https://docs.google.com/spreadsheets/d/1MeEWN-I1oV_STSDYn1IFDPWt_1FKiwhDph83XaGc0o0/edit?usp=sharing"",""งบพรบ!DE62"")"),0)</f>
        <v>0</v>
      </c>
      <c r="N269" s="957">
        <f ca="1">IFERROR(__xludf.DUMMYFUNCTION("IMPORTRANGE(""https://docs.google.com/spreadsheets/d/1MeEWN-I1oV_STSDYn1IFDPWt_1FKiwhDph83XaGc0o0/edit?usp=sharing"",""งบพรบ!DG62"")"),0)</f>
        <v>0</v>
      </c>
      <c r="O269" s="957">
        <f t="shared" ca="1" si="117"/>
        <v>0</v>
      </c>
      <c r="P269" s="957">
        <f t="shared" ca="1" si="118"/>
        <v>0</v>
      </c>
      <c r="Q269" s="943"/>
      <c r="R269" s="943"/>
      <c r="S269" s="943"/>
      <c r="T269" s="943"/>
      <c r="U269" s="943"/>
      <c r="V269" s="943"/>
      <c r="W269" s="943"/>
      <c r="X269" s="943"/>
      <c r="Y269" s="943"/>
      <c r="Z269" s="943"/>
    </row>
    <row r="270" spans="1:26" ht="19.5">
      <c r="A270" s="1086"/>
      <c r="B270" s="1087"/>
      <c r="C270" s="1076" t="s">
        <v>16</v>
      </c>
      <c r="D270" s="1088" t="s">
        <v>38</v>
      </c>
      <c r="E270" s="1089"/>
      <c r="F270" s="1089"/>
      <c r="G270" s="1090"/>
      <c r="H270" s="1091"/>
      <c r="I270" s="1078"/>
      <c r="J270" s="1078"/>
      <c r="K270" s="1079"/>
      <c r="L270" s="1079"/>
      <c r="M270" s="1079"/>
      <c r="N270" s="1079"/>
      <c r="O270" s="1079"/>
      <c r="P270" s="1079"/>
    </row>
    <row r="271" spans="1:26" ht="18.75">
      <c r="A271" s="1086"/>
      <c r="B271" s="1087"/>
      <c r="C271" s="1087"/>
      <c r="D271" s="1237" t="s">
        <v>124</v>
      </c>
      <c r="E271" s="1094"/>
      <c r="F271" s="1174"/>
      <c r="G271" s="1095"/>
      <c r="H271" s="1238" t="s">
        <v>35</v>
      </c>
      <c r="I271" s="949">
        <f ca="1">IFERROR(__xludf.DUMMYFUNCTION("IMPORTRANGE(""https://docs.google.com/spreadsheets/d/1QqKyyYR6Q21VydFLVH3TRQUabQu_ym0Zz7PgGX0-kHA/edit?usp=sharing"",""แผน!EA62"")"),22)</f>
        <v>22</v>
      </c>
      <c r="J271" s="1098">
        <v>0</v>
      </c>
      <c r="K271" s="1079">
        <f ca="1">IF(I271&gt;0,J271*100/I271,0)</f>
        <v>0</v>
      </c>
      <c r="L271" s="1079"/>
      <c r="M271" s="1079"/>
      <c r="N271" s="1079"/>
      <c r="O271" s="1079"/>
      <c r="P271" s="1079"/>
    </row>
    <row r="272" spans="1:26" ht="18.75" hidden="1">
      <c r="A272" s="1239"/>
      <c r="B272" s="1240"/>
      <c r="C272" s="1240"/>
      <c r="D272" s="1241" t="s">
        <v>125</v>
      </c>
      <c r="E272" s="1242"/>
      <c r="F272" s="1242"/>
      <c r="G272" s="1243"/>
      <c r="H272" s="962" t="s">
        <v>35</v>
      </c>
      <c r="I272" s="1244">
        <v>0</v>
      </c>
      <c r="J272" s="1244">
        <v>0</v>
      </c>
      <c r="K272" s="1245">
        <v>0</v>
      </c>
      <c r="L272" s="1245"/>
      <c r="M272" s="1245"/>
      <c r="N272" s="1245"/>
      <c r="O272" s="1245"/>
      <c r="P272" s="1245"/>
    </row>
    <row r="273" spans="1:26" ht="19.5">
      <c r="A273" s="1246" t="s">
        <v>126</v>
      </c>
      <c r="B273" s="1247"/>
      <c r="C273" s="1247"/>
      <c r="D273" s="1247"/>
      <c r="E273" s="1248"/>
      <c r="F273" s="1248"/>
      <c r="G273" s="1249"/>
      <c r="H273" s="1250"/>
      <c r="I273" s="1251"/>
      <c r="J273" s="1251"/>
      <c r="K273" s="1252"/>
      <c r="L273" s="1252"/>
      <c r="M273" s="1252"/>
      <c r="N273" s="1252"/>
      <c r="O273" s="1252"/>
      <c r="P273" s="1252"/>
    </row>
    <row r="274" spans="1:26" ht="19.5" hidden="1">
      <c r="A274" s="1253" t="s">
        <v>127</v>
      </c>
      <c r="B274" s="1254"/>
      <c r="C274" s="1255"/>
      <c r="D274" s="1254"/>
      <c r="E274" s="1254"/>
      <c r="F274" s="1254"/>
      <c r="G274" s="1254"/>
      <c r="H274" s="1256"/>
      <c r="I274" s="1257"/>
      <c r="J274" s="1258"/>
      <c r="K274" s="1259"/>
      <c r="L274" s="1259"/>
      <c r="M274" s="1259"/>
      <c r="N274" s="1259"/>
      <c r="O274" s="1259"/>
      <c r="P274" s="1259"/>
    </row>
    <row r="275" spans="1:26" ht="19.5" hidden="1">
      <c r="A275" s="1260"/>
      <c r="B275" s="1261" t="s">
        <v>128</v>
      </c>
      <c r="C275" s="1262"/>
      <c r="D275" s="1263"/>
      <c r="E275" s="1262"/>
      <c r="F275" s="1262"/>
      <c r="G275" s="1264"/>
      <c r="H275" s="1265" t="s">
        <v>35</v>
      </c>
      <c r="I275" s="1266">
        <f t="shared" ref="I275:J275" ca="1" si="122">I288</f>
        <v>0</v>
      </c>
      <c r="J275" s="1266">
        <f t="shared" ca="1" si="122"/>
        <v>0</v>
      </c>
      <c r="K275" s="1267">
        <f t="shared" ref="K275:K276" ca="1" si="123">IF(I275&gt;0,J275*100/I275,0)</f>
        <v>0</v>
      </c>
      <c r="L275" s="1268"/>
      <c r="M275" s="1268"/>
      <c r="N275" s="1268"/>
      <c r="O275" s="1268"/>
      <c r="P275" s="1268"/>
    </row>
    <row r="276" spans="1:26" ht="19.5" hidden="1">
      <c r="A276" s="1260"/>
      <c r="B276" s="1261"/>
      <c r="C276" s="1262"/>
      <c r="D276" s="1263"/>
      <c r="E276" s="1262"/>
      <c r="F276" s="1262"/>
      <c r="G276" s="1264"/>
      <c r="H276" s="1265" t="s">
        <v>46</v>
      </c>
      <c r="I276" s="1269">
        <f t="shared" ref="I276:J276" ca="1" si="124">I287</f>
        <v>0</v>
      </c>
      <c r="J276" s="1269">
        <f t="shared" si="124"/>
        <v>0</v>
      </c>
      <c r="K276" s="1268">
        <f t="shared" ca="1" si="123"/>
        <v>0</v>
      </c>
      <c r="L276" s="1268"/>
      <c r="M276" s="1268"/>
      <c r="N276" s="1268"/>
      <c r="O276" s="1268"/>
      <c r="P276" s="1268"/>
    </row>
    <row r="277" spans="1:26" ht="19.5" hidden="1">
      <c r="A277" s="1063"/>
      <c r="B277" s="1064"/>
      <c r="C277" s="1065" t="s">
        <v>16</v>
      </c>
      <c r="D277" s="1066" t="s">
        <v>17</v>
      </c>
      <c r="E277" s="1064"/>
      <c r="F277" s="1064"/>
      <c r="G277" s="1067"/>
      <c r="H277" s="1068" t="s">
        <v>12</v>
      </c>
      <c r="I277" s="1069"/>
      <c r="J277" s="1069"/>
      <c r="K277" s="1070"/>
      <c r="L277" s="1071">
        <f t="shared" ref="L277:N277" ca="1" si="125">L278+L279</f>
        <v>0</v>
      </c>
      <c r="M277" s="1071">
        <f t="shared" ca="1" si="125"/>
        <v>0</v>
      </c>
      <c r="N277" s="1071">
        <f t="shared" ca="1" si="125"/>
        <v>0</v>
      </c>
      <c r="O277" s="1071">
        <f t="shared" ref="O277:O285" ca="1" si="126">IF(L277&gt;0,N277*100/L277,0)</f>
        <v>0</v>
      </c>
      <c r="P277" s="1071">
        <f t="shared" ref="P277:P285" ca="1" si="127">IF(M277&gt;0,N277*100/M277,0)</f>
        <v>0</v>
      </c>
      <c r="Q277" s="935"/>
      <c r="R277" s="935"/>
      <c r="S277" s="935"/>
      <c r="T277" s="935"/>
      <c r="U277" s="935"/>
      <c r="V277" s="935"/>
      <c r="W277" s="935"/>
      <c r="X277" s="935"/>
      <c r="Y277" s="935"/>
      <c r="Z277" s="935"/>
    </row>
    <row r="278" spans="1:26" ht="18.75" hidden="1">
      <c r="A278" s="1072"/>
      <c r="B278" s="952"/>
      <c r="C278" s="952"/>
      <c r="D278" s="952"/>
      <c r="E278" s="953" t="s">
        <v>18</v>
      </c>
      <c r="F278" s="952"/>
      <c r="G278" s="1073"/>
      <c r="H278" s="1074" t="s">
        <v>12</v>
      </c>
      <c r="I278" s="956"/>
      <c r="J278" s="956"/>
      <c r="K278" s="957"/>
      <c r="L278" s="957">
        <f t="shared" ref="L278:N279" si="128">L281+L284</f>
        <v>0</v>
      </c>
      <c r="M278" s="957">
        <f t="shared" si="128"/>
        <v>0</v>
      </c>
      <c r="N278" s="957">
        <f t="shared" si="128"/>
        <v>0</v>
      </c>
      <c r="O278" s="957">
        <f t="shared" si="126"/>
        <v>0</v>
      </c>
      <c r="P278" s="957">
        <f t="shared" si="127"/>
        <v>0</v>
      </c>
      <c r="Q278" s="943"/>
      <c r="R278" s="943"/>
      <c r="S278" s="943"/>
      <c r="T278" s="943"/>
      <c r="U278" s="943"/>
      <c r="V278" s="943"/>
      <c r="W278" s="943"/>
      <c r="X278" s="943"/>
      <c r="Y278" s="943"/>
      <c r="Z278" s="943"/>
    </row>
    <row r="279" spans="1:26" ht="18.75" hidden="1">
      <c r="A279" s="1072"/>
      <c r="B279" s="952"/>
      <c r="C279" s="952"/>
      <c r="D279" s="952"/>
      <c r="E279" s="953" t="s">
        <v>19</v>
      </c>
      <c r="F279" s="952"/>
      <c r="G279" s="1073"/>
      <c r="H279" s="1074" t="s">
        <v>12</v>
      </c>
      <c r="I279" s="956"/>
      <c r="J279" s="956"/>
      <c r="K279" s="957"/>
      <c r="L279" s="957">
        <f t="shared" ca="1" si="128"/>
        <v>0</v>
      </c>
      <c r="M279" s="957">
        <f t="shared" ca="1" si="128"/>
        <v>0</v>
      </c>
      <c r="N279" s="957">
        <f t="shared" ca="1" si="128"/>
        <v>0</v>
      </c>
      <c r="O279" s="957">
        <f t="shared" ca="1" si="126"/>
        <v>0</v>
      </c>
      <c r="P279" s="957">
        <f t="shared" ca="1" si="127"/>
        <v>0</v>
      </c>
      <c r="Q279" s="943"/>
      <c r="R279" s="943"/>
      <c r="S279" s="943"/>
      <c r="T279" s="943"/>
      <c r="U279" s="943"/>
      <c r="V279" s="943"/>
      <c r="W279" s="943"/>
      <c r="X279" s="943"/>
      <c r="Y279" s="943"/>
      <c r="Z279" s="943"/>
    </row>
    <row r="280" spans="1:26" ht="18.75" hidden="1">
      <c r="A280" s="1075"/>
      <c r="B280" s="945"/>
      <c r="C280" s="1076"/>
      <c r="D280" s="946" t="s">
        <v>20</v>
      </c>
      <c r="E280" s="945"/>
      <c r="F280" s="945"/>
      <c r="G280" s="947"/>
      <c r="H280" s="1077" t="s">
        <v>12</v>
      </c>
      <c r="I280" s="1078"/>
      <c r="J280" s="1078"/>
      <c r="K280" s="1079"/>
      <c r="L280" s="950">
        <f t="shared" ref="L280:N280" ca="1" si="129">L281+L282</f>
        <v>0</v>
      </c>
      <c r="M280" s="950">
        <f t="shared" ca="1" si="129"/>
        <v>0</v>
      </c>
      <c r="N280" s="950">
        <f t="shared" ca="1" si="129"/>
        <v>0</v>
      </c>
      <c r="O280" s="950">
        <f t="shared" ca="1" si="126"/>
        <v>0</v>
      </c>
      <c r="P280" s="950">
        <f t="shared" ca="1" si="127"/>
        <v>0</v>
      </c>
      <c r="Q280" s="935"/>
      <c r="R280" s="935"/>
      <c r="S280" s="935"/>
      <c r="T280" s="935"/>
      <c r="U280" s="935"/>
      <c r="V280" s="935"/>
      <c r="W280" s="935"/>
      <c r="X280" s="935"/>
      <c r="Y280" s="935"/>
      <c r="Z280" s="935"/>
    </row>
    <row r="281" spans="1:26" ht="19.5" hidden="1">
      <c r="A281" s="1072"/>
      <c r="B281" s="952"/>
      <c r="C281" s="1080"/>
      <c r="D281" s="952"/>
      <c r="E281" s="953" t="s">
        <v>36</v>
      </c>
      <c r="F281" s="952"/>
      <c r="G281" s="1073"/>
      <c r="H281" s="1081" t="s">
        <v>12</v>
      </c>
      <c r="I281" s="1082"/>
      <c r="J281" s="1082"/>
      <c r="K281" s="1083"/>
      <c r="L281" s="957">
        <v>0</v>
      </c>
      <c r="M281" s="957">
        <v>0</v>
      </c>
      <c r="N281" s="957">
        <v>0</v>
      </c>
      <c r="O281" s="957">
        <f t="shared" si="126"/>
        <v>0</v>
      </c>
      <c r="P281" s="957">
        <f t="shared" si="127"/>
        <v>0</v>
      </c>
      <c r="Q281" s="943"/>
      <c r="R281" s="943"/>
      <c r="S281" s="943"/>
      <c r="T281" s="943"/>
      <c r="U281" s="943"/>
      <c r="V281" s="943"/>
      <c r="W281" s="943"/>
      <c r="X281" s="943"/>
      <c r="Y281" s="943"/>
      <c r="Z281" s="943"/>
    </row>
    <row r="282" spans="1:26" ht="19.5" hidden="1">
      <c r="A282" s="1072"/>
      <c r="B282" s="952"/>
      <c r="C282" s="1080"/>
      <c r="D282" s="952"/>
      <c r="E282" s="953" t="s">
        <v>37</v>
      </c>
      <c r="F282" s="952"/>
      <c r="G282" s="1073"/>
      <c r="H282" s="1081" t="s">
        <v>12</v>
      </c>
      <c r="I282" s="1082"/>
      <c r="J282" s="1082"/>
      <c r="K282" s="1083"/>
      <c r="L282" s="957">
        <f ca="1">IFERROR(__xludf.DUMMYFUNCTION("IMPORTRANGE(""https://docs.google.com/spreadsheets/d/1MeEWN-I1oV_STSDYn1IFDPWt_1FKiwhDph83XaGc0o0/edit?usp=sharing"",""งบพรบ!DI62"")"),0)</f>
        <v>0</v>
      </c>
      <c r="M282" s="957">
        <f ca="1">IFERROR(__xludf.DUMMYFUNCTION("IMPORTRANGE(""https://docs.google.com/spreadsheets/d/1MeEWN-I1oV_STSDYn1IFDPWt_1FKiwhDph83XaGc0o0/edit?usp=sharing"",""งบพรบ!DN62"")"),0)</f>
        <v>0</v>
      </c>
      <c r="N282" s="957">
        <f ca="1">IFERROR(__xludf.DUMMYFUNCTION("IMPORTRANGE(""https://docs.google.com/spreadsheets/d/1MeEWN-I1oV_STSDYn1IFDPWt_1FKiwhDph83XaGc0o0/edit?usp=sharing"",""งบพรบ!DP62"")"),0)</f>
        <v>0</v>
      </c>
      <c r="O282" s="957">
        <f t="shared" ca="1" si="126"/>
        <v>0</v>
      </c>
      <c r="P282" s="957">
        <f t="shared" ca="1" si="127"/>
        <v>0</v>
      </c>
      <c r="Q282" s="943"/>
      <c r="R282" s="943"/>
      <c r="S282" s="943"/>
      <c r="T282" s="943"/>
      <c r="U282" s="943"/>
      <c r="V282" s="943"/>
      <c r="W282" s="943"/>
      <c r="X282" s="943"/>
      <c r="Y282" s="943"/>
      <c r="Z282" s="943"/>
    </row>
    <row r="283" spans="1:26" ht="18.75" hidden="1">
      <c r="A283" s="1075"/>
      <c r="B283" s="945"/>
      <c r="C283" s="1076"/>
      <c r="D283" s="946" t="s">
        <v>21</v>
      </c>
      <c r="E283" s="945"/>
      <c r="F283" s="945"/>
      <c r="G283" s="947"/>
      <c r="H283" s="1084" t="s">
        <v>12</v>
      </c>
      <c r="I283" s="1078"/>
      <c r="J283" s="1078"/>
      <c r="K283" s="1079"/>
      <c r="L283" s="950">
        <f t="shared" ref="L283:N283" ca="1" si="130">L284+L285</f>
        <v>0</v>
      </c>
      <c r="M283" s="950">
        <f t="shared" ca="1" si="130"/>
        <v>0</v>
      </c>
      <c r="N283" s="950">
        <f t="shared" ca="1" si="130"/>
        <v>0</v>
      </c>
      <c r="O283" s="950">
        <f t="shared" ca="1" si="126"/>
        <v>0</v>
      </c>
      <c r="P283" s="950">
        <f t="shared" ca="1" si="127"/>
        <v>0</v>
      </c>
      <c r="Q283" s="935"/>
      <c r="R283" s="935"/>
      <c r="S283" s="935"/>
      <c r="T283" s="935"/>
      <c r="U283" s="935"/>
      <c r="V283" s="935"/>
      <c r="W283" s="935"/>
      <c r="X283" s="935"/>
      <c r="Y283" s="935"/>
      <c r="Z283" s="935"/>
    </row>
    <row r="284" spans="1:26" ht="19.5" hidden="1">
      <c r="A284" s="1072"/>
      <c r="B284" s="952"/>
      <c r="C284" s="1080"/>
      <c r="D284" s="952"/>
      <c r="E284" s="953" t="s">
        <v>18</v>
      </c>
      <c r="F284" s="952"/>
      <c r="G284" s="1073"/>
      <c r="H284" s="1081" t="s">
        <v>12</v>
      </c>
      <c r="I284" s="1082"/>
      <c r="J284" s="1082"/>
      <c r="K284" s="1083"/>
      <c r="L284" s="957">
        <v>0</v>
      </c>
      <c r="M284" s="957">
        <v>0</v>
      </c>
      <c r="N284" s="957">
        <v>0</v>
      </c>
      <c r="O284" s="957">
        <f t="shared" si="126"/>
        <v>0</v>
      </c>
      <c r="P284" s="957">
        <f t="shared" si="127"/>
        <v>0</v>
      </c>
      <c r="Q284" s="943"/>
      <c r="R284" s="943"/>
      <c r="S284" s="943"/>
      <c r="T284" s="943"/>
      <c r="U284" s="943"/>
      <c r="V284" s="943"/>
      <c r="W284" s="943"/>
      <c r="X284" s="943"/>
      <c r="Y284" s="943"/>
      <c r="Z284" s="943"/>
    </row>
    <row r="285" spans="1:26" ht="19.5" hidden="1">
      <c r="A285" s="1072"/>
      <c r="B285" s="952"/>
      <c r="C285" s="1080"/>
      <c r="D285" s="952"/>
      <c r="E285" s="953" t="s">
        <v>19</v>
      </c>
      <c r="F285" s="952"/>
      <c r="G285" s="1073"/>
      <c r="H285" s="1085" t="s">
        <v>12</v>
      </c>
      <c r="I285" s="1082"/>
      <c r="J285" s="1082"/>
      <c r="K285" s="1083"/>
      <c r="L285" s="957">
        <f ca="1">IFERROR(__xludf.DUMMYFUNCTION("IMPORTRANGE(""https://docs.google.com/spreadsheets/d/1MeEWN-I1oV_STSDYn1IFDPWt_1FKiwhDph83XaGc0o0/edit?usp=sharing"",""งบพรบ!DL62"")"),0)</f>
        <v>0</v>
      </c>
      <c r="M285" s="957">
        <f ca="1">IFERROR(__xludf.DUMMYFUNCTION("IMPORTRANGE(""https://docs.google.com/spreadsheets/d/1MeEWN-I1oV_STSDYn1IFDPWt_1FKiwhDph83XaGc0o0/edit?usp=sharing"",""งบพรบ!DO62"")"),0)</f>
        <v>0</v>
      </c>
      <c r="N285" s="957">
        <f ca="1">IFERROR(__xludf.DUMMYFUNCTION("IMPORTRANGE(""https://docs.google.com/spreadsheets/d/1MeEWN-I1oV_STSDYn1IFDPWt_1FKiwhDph83XaGc0o0/edit?usp=sharing"",""งบพรบ!DQ62"")"),0)</f>
        <v>0</v>
      </c>
      <c r="O285" s="957">
        <f t="shared" ca="1" si="126"/>
        <v>0</v>
      </c>
      <c r="P285" s="957">
        <f t="shared" ca="1" si="127"/>
        <v>0</v>
      </c>
      <c r="Q285" s="943"/>
      <c r="R285" s="943"/>
      <c r="S285" s="943"/>
      <c r="T285" s="943"/>
      <c r="U285" s="943"/>
      <c r="V285" s="943"/>
      <c r="W285" s="943"/>
      <c r="X285" s="943"/>
      <c r="Y285" s="943"/>
      <c r="Z285" s="943"/>
    </row>
    <row r="286" spans="1:26" ht="19.5" hidden="1">
      <c r="A286" s="1086"/>
      <c r="B286" s="1087"/>
      <c r="C286" s="1080" t="s">
        <v>16</v>
      </c>
      <c r="D286" s="1088" t="s">
        <v>38</v>
      </c>
      <c r="E286" s="1089"/>
      <c r="F286" s="1089"/>
      <c r="G286" s="1090"/>
      <c r="H286" s="1091"/>
      <c r="I286" s="1078"/>
      <c r="J286" s="1078"/>
      <c r="K286" s="1079"/>
      <c r="L286" s="1079"/>
      <c r="M286" s="1079"/>
      <c r="N286" s="1079"/>
      <c r="O286" s="1079"/>
      <c r="P286" s="1079"/>
    </row>
    <row r="287" spans="1:26" ht="18.75" hidden="1">
      <c r="A287" s="1086"/>
      <c r="B287" s="1087"/>
      <c r="C287" s="1087"/>
      <c r="D287" s="1101" t="s">
        <v>129</v>
      </c>
      <c r="E287" s="1087"/>
      <c r="F287" s="1094"/>
      <c r="G287" s="1095"/>
      <c r="H287" s="1099" t="s">
        <v>46</v>
      </c>
      <c r="I287" s="949">
        <f ca="1">IFERROR(__xludf.DUMMYFUNCTION("IMPORTRANGE(""https://docs.google.com/spreadsheets/d/1QqKyyYR6Q21VydFLVH3TRQUabQu_ym0Zz7PgGX0-kHA/edit?usp=sharing"",""แผน!EC62"")"),0)</f>
        <v>0</v>
      </c>
      <c r="J287" s="949">
        <v>0</v>
      </c>
      <c r="K287" s="1079">
        <f t="shared" ref="K287:K288" ca="1" si="131">IF(I287&gt;0,J287*100/I287,0)</f>
        <v>0</v>
      </c>
      <c r="L287" s="1079"/>
      <c r="M287" s="1079"/>
      <c r="N287" s="1079"/>
      <c r="O287" s="1079"/>
      <c r="P287" s="1079"/>
    </row>
    <row r="288" spans="1:26" ht="19.5" hidden="1">
      <c r="A288" s="1086"/>
      <c r="B288" s="1087"/>
      <c r="C288" s="1087"/>
      <c r="D288" s="1101" t="s">
        <v>130</v>
      </c>
      <c r="E288" s="1087"/>
      <c r="F288" s="1094"/>
      <c r="G288" s="1095"/>
      <c r="H288" s="1096" t="s">
        <v>35</v>
      </c>
      <c r="I288" s="1107">
        <f ca="1">IFERROR(__xludf.DUMMYFUNCTION("IMPORTRANGE(""https://docs.google.com/spreadsheets/d/1QqKyyYR6Q21VydFLVH3TRQUabQu_ym0Zz7PgGX0-kHA/edit?usp=sharing"",""แผน!EB62"")"),0)</f>
        <v>0</v>
      </c>
      <c r="J288" s="1107">
        <f ca="1">IF(AND(J291&gt;=I288,J294&gt;=I288),J294,0)</f>
        <v>0</v>
      </c>
      <c r="K288" s="1270">
        <f t="shared" ca="1" si="131"/>
        <v>0</v>
      </c>
      <c r="L288" s="1079"/>
      <c r="M288" s="1079"/>
      <c r="N288" s="1079"/>
      <c r="O288" s="1079"/>
      <c r="P288" s="1079"/>
    </row>
    <row r="289" spans="1:26" ht="19.5" hidden="1">
      <c r="A289" s="1086"/>
      <c r="B289" s="1087"/>
      <c r="C289" s="1087"/>
      <c r="D289" s="412"/>
      <c r="E289" s="1271" t="s">
        <v>131</v>
      </c>
      <c r="F289" s="1094"/>
      <c r="G289" s="1095"/>
      <c r="H289" s="1097"/>
      <c r="I289" s="1078"/>
      <c r="J289" s="949"/>
      <c r="K289" s="1079"/>
      <c r="L289" s="1079"/>
      <c r="M289" s="1079"/>
      <c r="N289" s="1079"/>
      <c r="O289" s="1079"/>
      <c r="P289" s="1079"/>
    </row>
    <row r="290" spans="1:26" ht="19.5" hidden="1">
      <c r="A290" s="1086"/>
      <c r="B290" s="1087"/>
      <c r="C290" s="1087"/>
      <c r="D290" s="412"/>
      <c r="E290" s="1101" t="s">
        <v>357</v>
      </c>
      <c r="F290" s="1094"/>
      <c r="G290" s="1095"/>
      <c r="H290" s="1097" t="s">
        <v>35</v>
      </c>
      <c r="I290" s="1078">
        <f ca="1">IFERROR(__xludf.DUMMYFUNCTION("IMPORTRANGE(""https://docs.google.com/spreadsheets/d/1QqKyyYR6Q21VydFLVH3TRQUabQu_ym0Zz7PgGX0-kHA/edit?usp=sharing"",""แผน!EB62"")"),0)</f>
        <v>0</v>
      </c>
      <c r="J290" s="1098">
        <v>0</v>
      </c>
      <c r="K290" s="1079">
        <f t="shared" ref="K290:K291" ca="1" si="132">IF(I290&gt;0,J290*100/I290,0)</f>
        <v>0</v>
      </c>
      <c r="L290" s="1079"/>
      <c r="M290" s="1079"/>
      <c r="N290" s="1079"/>
      <c r="O290" s="1079"/>
      <c r="P290" s="1079"/>
    </row>
    <row r="291" spans="1:26" ht="19.5" hidden="1">
      <c r="A291" s="1086"/>
      <c r="B291" s="1087"/>
      <c r="C291" s="1087"/>
      <c r="D291" s="1094"/>
      <c r="E291" s="1101" t="s">
        <v>358</v>
      </c>
      <c r="F291" s="1094"/>
      <c r="G291" s="1095"/>
      <c r="H291" s="1097" t="s">
        <v>35</v>
      </c>
      <c r="I291" s="1078">
        <f ca="1">IFERROR(__xludf.DUMMYFUNCTION("IMPORTRANGE(""https://docs.google.com/spreadsheets/d/1QqKyyYR6Q21VydFLVH3TRQUabQu_ym0Zz7PgGX0-kHA/edit?usp=sharing"",""แผน!EB62"")"),0)</f>
        <v>0</v>
      </c>
      <c r="J291" s="1098">
        <v>0</v>
      </c>
      <c r="K291" s="1079">
        <f t="shared" ca="1" si="132"/>
        <v>0</v>
      </c>
      <c r="L291" s="1079"/>
      <c r="M291" s="1079"/>
      <c r="N291" s="1079"/>
      <c r="O291" s="1079"/>
      <c r="P291" s="1079"/>
    </row>
    <row r="292" spans="1:26" ht="19.5" hidden="1">
      <c r="A292" s="1272"/>
      <c r="B292" s="1273"/>
      <c r="C292" s="1273"/>
      <c r="D292" s="416"/>
      <c r="E292" s="1274" t="s">
        <v>134</v>
      </c>
      <c r="F292" s="1189"/>
      <c r="G292" s="1190"/>
      <c r="H292" s="1275"/>
      <c r="I292" s="1183"/>
      <c r="J292" s="1069"/>
      <c r="K292" s="1184"/>
      <c r="L292" s="1184"/>
      <c r="M292" s="1184"/>
      <c r="N292" s="1184"/>
      <c r="O292" s="1184"/>
      <c r="P292" s="1184"/>
    </row>
    <row r="293" spans="1:26" ht="19.5" hidden="1">
      <c r="A293" s="1086"/>
      <c r="B293" s="1087"/>
      <c r="C293" s="1087"/>
      <c r="D293" s="412"/>
      <c r="E293" s="1101" t="s">
        <v>357</v>
      </c>
      <c r="F293" s="1094"/>
      <c r="G293" s="1095"/>
      <c r="H293" s="1097" t="s">
        <v>35</v>
      </c>
      <c r="I293" s="1078">
        <f ca="1">IFERROR(__xludf.DUMMYFUNCTION("IMPORTRANGE(""https://docs.google.com/spreadsheets/d/1QqKyyYR6Q21VydFLVH3TRQUabQu_ym0Zz7PgGX0-kHA/edit?usp=sharing"",""แผน!EB62"")"),0)</f>
        <v>0</v>
      </c>
      <c r="J293" s="1098">
        <v>0</v>
      </c>
      <c r="K293" s="1079">
        <f t="shared" ref="K293:K294" ca="1" si="133">IF(I293&gt;0,J293*100/I293,0)</f>
        <v>0</v>
      </c>
      <c r="L293" s="1079"/>
      <c r="M293" s="1079"/>
      <c r="N293" s="1079"/>
      <c r="O293" s="1079"/>
      <c r="P293" s="1079"/>
    </row>
    <row r="294" spans="1:26" ht="19.5" hidden="1">
      <c r="A294" s="1239"/>
      <c r="B294" s="1240"/>
      <c r="C294" s="1240"/>
      <c r="D294" s="1242"/>
      <c r="E294" s="1276" t="s">
        <v>358</v>
      </c>
      <c r="F294" s="1242"/>
      <c r="G294" s="1243"/>
      <c r="H294" s="1277" t="s">
        <v>35</v>
      </c>
      <c r="I294" s="1278">
        <f ca="1">IFERROR(__xludf.DUMMYFUNCTION("IMPORTRANGE(""https://docs.google.com/spreadsheets/d/1QqKyyYR6Q21VydFLVH3TRQUabQu_ym0Zz7PgGX0-kHA/edit?usp=sharing"",""แผน!EB62"")"),0)</f>
        <v>0</v>
      </c>
      <c r="J294" s="1279">
        <v>0</v>
      </c>
      <c r="K294" s="1245">
        <f t="shared" ca="1" si="133"/>
        <v>0</v>
      </c>
      <c r="L294" s="1245"/>
      <c r="M294" s="1245"/>
      <c r="N294" s="1245"/>
      <c r="O294" s="1245"/>
      <c r="P294" s="1245"/>
    </row>
    <row r="295" spans="1:26" ht="19.5" hidden="1">
      <c r="A295" s="1280" t="s">
        <v>137</v>
      </c>
      <c r="B295" s="1281"/>
      <c r="C295" s="1281"/>
      <c r="D295" s="1281"/>
      <c r="E295" s="1282"/>
      <c r="F295" s="1282"/>
      <c r="G295" s="1283"/>
      <c r="H295" s="1284"/>
      <c r="I295" s="1285"/>
      <c r="J295" s="1285"/>
      <c r="K295" s="1286"/>
      <c r="L295" s="1286"/>
      <c r="M295" s="1286"/>
      <c r="N295" s="1286"/>
      <c r="O295" s="1286"/>
      <c r="P295" s="1286"/>
    </row>
    <row r="296" spans="1:26" ht="19.5" hidden="1">
      <c r="A296" s="1287" t="s">
        <v>138</v>
      </c>
      <c r="B296" s="1288"/>
      <c r="C296" s="1288"/>
      <c r="D296" s="1289"/>
      <c r="E296" s="1289"/>
      <c r="F296" s="1289"/>
      <c r="G296" s="1290"/>
      <c r="H296" s="1291"/>
      <c r="I296" s="1292"/>
      <c r="J296" s="1292"/>
      <c r="K296" s="1293"/>
      <c r="L296" s="1293"/>
      <c r="M296" s="1293"/>
      <c r="N296" s="1293"/>
      <c r="O296" s="1293"/>
      <c r="P296" s="1293"/>
    </row>
    <row r="297" spans="1:26" ht="19.5" hidden="1">
      <c r="A297" s="1294"/>
      <c r="B297" s="1295" t="s">
        <v>139</v>
      </c>
      <c r="C297" s="1296"/>
      <c r="D297" s="1296"/>
      <c r="E297" s="1296"/>
      <c r="F297" s="1296"/>
      <c r="G297" s="1297"/>
      <c r="H297" s="1298" t="s">
        <v>35</v>
      </c>
      <c r="I297" s="1299">
        <f t="shared" ref="I297:J297" ca="1" si="134">I309</f>
        <v>0</v>
      </c>
      <c r="J297" s="1299">
        <f t="shared" si="134"/>
        <v>0</v>
      </c>
      <c r="K297" s="1300">
        <f ca="1">IF(I297&gt;0,J297*100/I297,0)</f>
        <v>0</v>
      </c>
      <c r="L297" s="1301"/>
      <c r="M297" s="1301"/>
      <c r="N297" s="1301"/>
      <c r="O297" s="1301"/>
      <c r="P297" s="1301"/>
    </row>
    <row r="298" spans="1:26" ht="19.5" hidden="1">
      <c r="A298" s="1063"/>
      <c r="B298" s="1064"/>
      <c r="C298" s="1065" t="s">
        <v>16</v>
      </c>
      <c r="D298" s="1066" t="s">
        <v>17</v>
      </c>
      <c r="E298" s="1064"/>
      <c r="F298" s="1064"/>
      <c r="G298" s="1067"/>
      <c r="H298" s="1068" t="s">
        <v>12</v>
      </c>
      <c r="I298" s="1069"/>
      <c r="J298" s="1069"/>
      <c r="K298" s="1070"/>
      <c r="L298" s="1071">
        <f t="shared" ref="L298:N298" ca="1" si="135">L299+L300</f>
        <v>0</v>
      </c>
      <c r="M298" s="1071">
        <f t="shared" ca="1" si="135"/>
        <v>0</v>
      </c>
      <c r="N298" s="1071">
        <f t="shared" ca="1" si="135"/>
        <v>0</v>
      </c>
      <c r="O298" s="1071">
        <f t="shared" ref="O298:O306" ca="1" si="136">IF(L298&gt;0,N298*100/L298,0)</f>
        <v>0</v>
      </c>
      <c r="P298" s="1071">
        <f t="shared" ref="P298:P306" ca="1" si="137">IF(M298&gt;0,N298*100/M298,0)</f>
        <v>0</v>
      </c>
      <c r="Q298" s="935"/>
      <c r="R298" s="935"/>
      <c r="S298" s="935"/>
      <c r="T298" s="935"/>
      <c r="U298" s="935"/>
      <c r="V298" s="935"/>
      <c r="W298" s="935"/>
      <c r="X298" s="935"/>
      <c r="Y298" s="935"/>
      <c r="Z298" s="935"/>
    </row>
    <row r="299" spans="1:26" ht="18.75" hidden="1">
      <c r="A299" s="1072"/>
      <c r="B299" s="952"/>
      <c r="C299" s="952"/>
      <c r="D299" s="952"/>
      <c r="E299" s="953" t="s">
        <v>18</v>
      </c>
      <c r="F299" s="952"/>
      <c r="G299" s="1073"/>
      <c r="H299" s="1074" t="s">
        <v>12</v>
      </c>
      <c r="I299" s="956"/>
      <c r="J299" s="956"/>
      <c r="K299" s="957"/>
      <c r="L299" s="957">
        <f t="shared" ref="L299:N300" si="138">L302+L305</f>
        <v>0</v>
      </c>
      <c r="M299" s="957">
        <f t="shared" si="138"/>
        <v>0</v>
      </c>
      <c r="N299" s="957">
        <f t="shared" si="138"/>
        <v>0</v>
      </c>
      <c r="O299" s="957">
        <f t="shared" si="136"/>
        <v>0</v>
      </c>
      <c r="P299" s="957">
        <f t="shared" si="137"/>
        <v>0</v>
      </c>
      <c r="Q299" s="943"/>
      <c r="R299" s="943"/>
      <c r="S299" s="943"/>
      <c r="T299" s="943"/>
      <c r="U299" s="943"/>
      <c r="V299" s="943"/>
      <c r="W299" s="943"/>
      <c r="X299" s="943"/>
      <c r="Y299" s="943"/>
      <c r="Z299" s="943"/>
    </row>
    <row r="300" spans="1:26" ht="18.75" hidden="1">
      <c r="A300" s="1072"/>
      <c r="B300" s="952"/>
      <c r="C300" s="952"/>
      <c r="D300" s="952"/>
      <c r="E300" s="953" t="s">
        <v>19</v>
      </c>
      <c r="F300" s="952"/>
      <c r="G300" s="1073"/>
      <c r="H300" s="1074" t="s">
        <v>12</v>
      </c>
      <c r="I300" s="956"/>
      <c r="J300" s="956"/>
      <c r="K300" s="957"/>
      <c r="L300" s="957">
        <f t="shared" ca="1" si="138"/>
        <v>0</v>
      </c>
      <c r="M300" s="957">
        <f t="shared" ca="1" si="138"/>
        <v>0</v>
      </c>
      <c r="N300" s="957">
        <f t="shared" ca="1" si="138"/>
        <v>0</v>
      </c>
      <c r="O300" s="957">
        <f t="shared" ca="1" si="136"/>
        <v>0</v>
      </c>
      <c r="P300" s="957">
        <f t="shared" ca="1" si="137"/>
        <v>0</v>
      </c>
      <c r="Q300" s="943"/>
      <c r="R300" s="943"/>
      <c r="S300" s="943"/>
      <c r="T300" s="943"/>
      <c r="U300" s="943"/>
      <c r="V300" s="943"/>
      <c r="W300" s="943"/>
      <c r="X300" s="943"/>
      <c r="Y300" s="943"/>
      <c r="Z300" s="943"/>
    </row>
    <row r="301" spans="1:26" ht="18.75" hidden="1">
      <c r="A301" s="1075"/>
      <c r="B301" s="945"/>
      <c r="C301" s="1076"/>
      <c r="D301" s="946" t="s">
        <v>20</v>
      </c>
      <c r="E301" s="945"/>
      <c r="F301" s="945"/>
      <c r="G301" s="947"/>
      <c r="H301" s="1077" t="s">
        <v>12</v>
      </c>
      <c r="I301" s="1078"/>
      <c r="J301" s="1078"/>
      <c r="K301" s="1079"/>
      <c r="L301" s="950">
        <f t="shared" ref="L301:N301" ca="1" si="139">L302+L303</f>
        <v>0</v>
      </c>
      <c r="M301" s="950">
        <f t="shared" ca="1" si="139"/>
        <v>0</v>
      </c>
      <c r="N301" s="950">
        <f t="shared" ca="1" si="139"/>
        <v>0</v>
      </c>
      <c r="O301" s="950">
        <f t="shared" ca="1" si="136"/>
        <v>0</v>
      </c>
      <c r="P301" s="950">
        <f t="shared" ca="1" si="137"/>
        <v>0</v>
      </c>
      <c r="Q301" s="935"/>
      <c r="R301" s="935"/>
      <c r="S301" s="935"/>
      <c r="T301" s="935"/>
      <c r="U301" s="935"/>
      <c r="V301" s="935"/>
      <c r="W301" s="935"/>
      <c r="X301" s="935"/>
      <c r="Y301" s="935"/>
      <c r="Z301" s="935"/>
    </row>
    <row r="302" spans="1:26" ht="19.5" hidden="1">
      <c r="A302" s="1072"/>
      <c r="B302" s="952"/>
      <c r="C302" s="1080"/>
      <c r="D302" s="952"/>
      <c r="E302" s="953" t="s">
        <v>36</v>
      </c>
      <c r="F302" s="952"/>
      <c r="G302" s="1073"/>
      <c r="H302" s="1081" t="s">
        <v>12</v>
      </c>
      <c r="I302" s="1082"/>
      <c r="J302" s="1082"/>
      <c r="K302" s="1083"/>
      <c r="L302" s="957">
        <v>0</v>
      </c>
      <c r="M302" s="957">
        <v>0</v>
      </c>
      <c r="N302" s="957">
        <v>0</v>
      </c>
      <c r="O302" s="957">
        <f t="shared" si="136"/>
        <v>0</v>
      </c>
      <c r="P302" s="957">
        <f t="shared" si="137"/>
        <v>0</v>
      </c>
      <c r="Q302" s="943"/>
      <c r="R302" s="943"/>
      <c r="S302" s="943"/>
      <c r="T302" s="943"/>
      <c r="U302" s="943"/>
      <c r="V302" s="943"/>
      <c r="W302" s="943"/>
      <c r="X302" s="943"/>
      <c r="Y302" s="943"/>
      <c r="Z302" s="943"/>
    </row>
    <row r="303" spans="1:26" ht="19.5" hidden="1">
      <c r="A303" s="1072"/>
      <c r="B303" s="952"/>
      <c r="C303" s="1080"/>
      <c r="D303" s="952"/>
      <c r="E303" s="953" t="s">
        <v>37</v>
      </c>
      <c r="F303" s="952"/>
      <c r="G303" s="1073"/>
      <c r="H303" s="1081" t="s">
        <v>12</v>
      </c>
      <c r="I303" s="1082"/>
      <c r="J303" s="1082"/>
      <c r="K303" s="1083"/>
      <c r="L303" s="957">
        <f ca="1">IFERROR(__xludf.DUMMYFUNCTION("IMPORTRANGE(""https://docs.google.com/spreadsheets/d/1MeEWN-I1oV_STSDYn1IFDPWt_1FKiwhDph83XaGc0o0/edit?usp=sharing"",""งบพรบ!DS62"")"),0)</f>
        <v>0</v>
      </c>
      <c r="M303" s="957">
        <f ca="1">IFERROR(__xludf.DUMMYFUNCTION("IMPORTRANGE(""https://docs.google.com/spreadsheets/d/1MeEWN-I1oV_STSDYn1IFDPWt_1FKiwhDph83XaGc0o0/edit?usp=sharing"",""งบพรบ!DX62"")"),0)</f>
        <v>0</v>
      </c>
      <c r="N303" s="957">
        <f ca="1">IFERROR(__xludf.DUMMYFUNCTION("IMPORTRANGE(""https://docs.google.com/spreadsheets/d/1MeEWN-I1oV_STSDYn1IFDPWt_1FKiwhDph83XaGc0o0/edit?usp=sharing"",""งบพรบ!DZ62"")"),0)</f>
        <v>0</v>
      </c>
      <c r="O303" s="957">
        <f t="shared" ca="1" si="136"/>
        <v>0</v>
      </c>
      <c r="P303" s="957">
        <f t="shared" ca="1" si="137"/>
        <v>0</v>
      </c>
      <c r="Q303" s="943"/>
      <c r="R303" s="943"/>
      <c r="S303" s="943"/>
      <c r="T303" s="943"/>
      <c r="U303" s="943"/>
      <c r="V303" s="943"/>
      <c r="W303" s="943"/>
      <c r="X303" s="943"/>
      <c r="Y303" s="943"/>
      <c r="Z303" s="943"/>
    </row>
    <row r="304" spans="1:26" ht="18.75" hidden="1">
      <c r="A304" s="1075"/>
      <c r="B304" s="945"/>
      <c r="C304" s="1076"/>
      <c r="D304" s="946" t="s">
        <v>21</v>
      </c>
      <c r="E304" s="945"/>
      <c r="F304" s="945"/>
      <c r="G304" s="947"/>
      <c r="H304" s="1084" t="s">
        <v>12</v>
      </c>
      <c r="I304" s="1078"/>
      <c r="J304" s="1078"/>
      <c r="K304" s="1079"/>
      <c r="L304" s="950">
        <f t="shared" ref="L304:N304" ca="1" si="140">L305+L306</f>
        <v>0</v>
      </c>
      <c r="M304" s="950">
        <f t="shared" ca="1" si="140"/>
        <v>0</v>
      </c>
      <c r="N304" s="950">
        <f t="shared" ca="1" si="140"/>
        <v>0</v>
      </c>
      <c r="O304" s="950">
        <f t="shared" ca="1" si="136"/>
        <v>0</v>
      </c>
      <c r="P304" s="950">
        <f t="shared" ca="1" si="137"/>
        <v>0</v>
      </c>
      <c r="Q304" s="935"/>
      <c r="R304" s="935"/>
      <c r="S304" s="935"/>
      <c r="T304" s="935"/>
      <c r="U304" s="935"/>
      <c r="V304" s="935"/>
      <c r="W304" s="935"/>
      <c r="X304" s="935"/>
      <c r="Y304" s="935"/>
      <c r="Z304" s="935"/>
    </row>
    <row r="305" spans="1:26" ht="19.5" hidden="1">
      <c r="A305" s="1072"/>
      <c r="B305" s="952"/>
      <c r="C305" s="1080"/>
      <c r="D305" s="952"/>
      <c r="E305" s="953" t="s">
        <v>18</v>
      </c>
      <c r="F305" s="952"/>
      <c r="G305" s="1073"/>
      <c r="H305" s="1081" t="s">
        <v>12</v>
      </c>
      <c r="I305" s="1082"/>
      <c r="J305" s="1082"/>
      <c r="K305" s="1083"/>
      <c r="L305" s="957">
        <v>0</v>
      </c>
      <c r="M305" s="957">
        <v>0</v>
      </c>
      <c r="N305" s="957">
        <v>0</v>
      </c>
      <c r="O305" s="957">
        <f t="shared" si="136"/>
        <v>0</v>
      </c>
      <c r="P305" s="957">
        <f t="shared" si="137"/>
        <v>0</v>
      </c>
      <c r="Q305" s="943"/>
      <c r="R305" s="943"/>
      <c r="S305" s="943"/>
      <c r="T305" s="943"/>
      <c r="U305" s="943"/>
      <c r="V305" s="943"/>
      <c r="W305" s="943"/>
      <c r="X305" s="943"/>
      <c r="Y305" s="943"/>
      <c r="Z305" s="943"/>
    </row>
    <row r="306" spans="1:26" ht="19.5" hidden="1">
      <c r="A306" s="1072"/>
      <c r="B306" s="952"/>
      <c r="C306" s="1080"/>
      <c r="D306" s="952"/>
      <c r="E306" s="953" t="s">
        <v>19</v>
      </c>
      <c r="F306" s="952"/>
      <c r="G306" s="1073"/>
      <c r="H306" s="1085" t="s">
        <v>12</v>
      </c>
      <c r="I306" s="1082"/>
      <c r="J306" s="1082"/>
      <c r="K306" s="1083"/>
      <c r="L306" s="957">
        <f ca="1">IFERROR(__xludf.DUMMYFUNCTION("IMPORTRANGE(""https://docs.google.com/spreadsheets/d/1MeEWN-I1oV_STSDYn1IFDPWt_1FKiwhDph83XaGc0o0/edit?usp=sharing"",""งบพรบ!DV62"")"),0)</f>
        <v>0</v>
      </c>
      <c r="M306" s="957">
        <f ca="1">IFERROR(__xludf.DUMMYFUNCTION("IMPORTRANGE(""https://docs.google.com/spreadsheets/d/1MeEWN-I1oV_STSDYn1IFDPWt_1FKiwhDph83XaGc0o0/edit?usp=sharing"",""งบพรบ!DY62"")"),0)</f>
        <v>0</v>
      </c>
      <c r="N306" s="957">
        <f ca="1">IFERROR(__xludf.DUMMYFUNCTION("IMPORTRANGE(""https://docs.google.com/spreadsheets/d/1MeEWN-I1oV_STSDYn1IFDPWt_1FKiwhDph83XaGc0o0/edit?usp=sharing"",""งบพรบ!EA62"")"),0)</f>
        <v>0</v>
      </c>
      <c r="O306" s="957">
        <f t="shared" ca="1" si="136"/>
        <v>0</v>
      </c>
      <c r="P306" s="957">
        <f t="shared" ca="1" si="137"/>
        <v>0</v>
      </c>
      <c r="Q306" s="943"/>
      <c r="R306" s="943"/>
      <c r="S306" s="943"/>
      <c r="T306" s="943"/>
      <c r="U306" s="943"/>
      <c r="V306" s="943"/>
      <c r="W306" s="943"/>
      <c r="X306" s="943"/>
      <c r="Y306" s="943"/>
      <c r="Z306" s="943"/>
    </row>
    <row r="307" spans="1:26" ht="19.5" hidden="1">
      <c r="A307" s="1086"/>
      <c r="B307" s="1087"/>
      <c r="C307" s="1080" t="s">
        <v>16</v>
      </c>
      <c r="D307" s="1088" t="s">
        <v>38</v>
      </c>
      <c r="E307" s="1089"/>
      <c r="F307" s="1089"/>
      <c r="G307" s="1090"/>
      <c r="H307" s="1091"/>
      <c r="I307" s="949"/>
      <c r="J307" s="949"/>
      <c r="K307" s="950"/>
      <c r="L307" s="950"/>
      <c r="M307" s="950"/>
      <c r="N307" s="950"/>
      <c r="O307" s="950"/>
      <c r="P307" s="950"/>
    </row>
    <row r="308" spans="1:26" ht="18.75" hidden="1">
      <c r="A308" s="1086"/>
      <c r="B308" s="1087"/>
      <c r="C308" s="1087"/>
      <c r="D308" s="1093" t="s">
        <v>140</v>
      </c>
      <c r="E308" s="1093"/>
      <c r="F308" s="1093"/>
      <c r="G308" s="1095"/>
      <c r="H308" s="1097"/>
      <c r="I308" s="949"/>
      <c r="J308" s="1098">
        <v>0</v>
      </c>
      <c r="K308" s="950"/>
      <c r="L308" s="950"/>
      <c r="M308" s="950"/>
      <c r="N308" s="950"/>
      <c r="O308" s="950"/>
      <c r="P308" s="950"/>
    </row>
    <row r="309" spans="1:26" ht="18.75" hidden="1">
      <c r="A309" s="1086"/>
      <c r="B309" s="1087"/>
      <c r="C309" s="1087"/>
      <c r="D309" s="1093" t="s">
        <v>141</v>
      </c>
      <c r="E309" s="1093"/>
      <c r="F309" s="1093"/>
      <c r="G309" s="1095"/>
      <c r="H309" s="1097" t="s">
        <v>35</v>
      </c>
      <c r="I309" s="949">
        <f ca="1">IFERROR(__xludf.DUMMYFUNCTION("IMPORTRANGE(""https://docs.google.com/spreadsheets/d/1QqKyyYR6Q21VydFLVH3TRQUabQu_ym0Zz7PgGX0-kHA/edit?usp=sharing"",""แผน!ED62"")"),0)</f>
        <v>0</v>
      </c>
      <c r="J309" s="1098">
        <v>0</v>
      </c>
      <c r="K309" s="950">
        <f t="shared" ref="K309:K312" ca="1" si="141">IF(I309&gt;0,J309*100/I309,0)</f>
        <v>0</v>
      </c>
      <c r="L309" s="950"/>
      <c r="M309" s="950"/>
      <c r="N309" s="950"/>
      <c r="O309" s="950"/>
      <c r="P309" s="950"/>
    </row>
    <row r="310" spans="1:26" ht="18.75" hidden="1">
      <c r="A310" s="1086"/>
      <c r="B310" s="1087"/>
      <c r="C310" s="1087"/>
      <c r="D310" s="1093" t="s">
        <v>142</v>
      </c>
      <c r="E310" s="1093"/>
      <c r="F310" s="1093"/>
      <c r="G310" s="1095"/>
      <c r="H310" s="1097" t="s">
        <v>35</v>
      </c>
      <c r="I310" s="949">
        <f ca="1">IFERROR(__xludf.DUMMYFUNCTION("IMPORTRANGE(""https://docs.google.com/spreadsheets/d/1QqKyyYR6Q21VydFLVH3TRQUabQu_ym0Zz7PgGX0-kHA/edit?usp=sharing"",""แผน!ED62"")"),0)</f>
        <v>0</v>
      </c>
      <c r="J310" s="1098">
        <v>0</v>
      </c>
      <c r="K310" s="950">
        <f t="shared" ca="1" si="141"/>
        <v>0</v>
      </c>
      <c r="L310" s="950"/>
      <c r="M310" s="950"/>
      <c r="N310" s="950"/>
      <c r="O310" s="950"/>
      <c r="P310" s="950"/>
    </row>
    <row r="311" spans="1:26" ht="18.75" hidden="1">
      <c r="A311" s="1086"/>
      <c r="B311" s="1087"/>
      <c r="C311" s="1087"/>
      <c r="D311" s="1093" t="s">
        <v>59</v>
      </c>
      <c r="E311" s="1093"/>
      <c r="F311" s="1093"/>
      <c r="G311" s="1095"/>
      <c r="H311" s="1097" t="s">
        <v>35</v>
      </c>
      <c r="I311" s="949">
        <f ca="1">IFERROR(__xludf.DUMMYFUNCTION("IMPORTRANGE(""https://docs.google.com/spreadsheets/d/1QqKyyYR6Q21VydFLVH3TRQUabQu_ym0Zz7PgGX0-kHA/edit?usp=sharing"",""แผน!ED62"")"),0)</f>
        <v>0</v>
      </c>
      <c r="J311" s="1098">
        <v>0</v>
      </c>
      <c r="K311" s="950">
        <f t="shared" ca="1" si="141"/>
        <v>0</v>
      </c>
      <c r="L311" s="950"/>
      <c r="M311" s="950"/>
      <c r="N311" s="950"/>
      <c r="O311" s="950"/>
      <c r="P311" s="950"/>
    </row>
    <row r="312" spans="1:26" ht="18.75" hidden="1">
      <c r="A312" s="1086"/>
      <c r="B312" s="1087"/>
      <c r="C312" s="1087"/>
      <c r="D312" s="1093" t="s">
        <v>143</v>
      </c>
      <c r="E312" s="1093"/>
      <c r="F312" s="1093"/>
      <c r="G312" s="1095"/>
      <c r="H312" s="1097" t="s">
        <v>35</v>
      </c>
      <c r="I312" s="949">
        <f ca="1">IFERROR(__xludf.DUMMYFUNCTION("IMPORTRANGE(""https://docs.google.com/spreadsheets/d/1QqKyyYR6Q21VydFLVH3TRQUabQu_ym0Zz7PgGX0-kHA/edit?usp=sharing"",""แผน!EE62"")"),0)</f>
        <v>0</v>
      </c>
      <c r="J312" s="1098">
        <v>0</v>
      </c>
      <c r="K312" s="950">
        <f t="shared" ca="1" si="141"/>
        <v>0</v>
      </c>
      <c r="L312" s="950"/>
      <c r="M312" s="950"/>
      <c r="N312" s="950"/>
      <c r="O312" s="950"/>
      <c r="P312" s="950"/>
    </row>
    <row r="313" spans="1:26" ht="19.5" hidden="1">
      <c r="A313" s="1287" t="s">
        <v>144</v>
      </c>
      <c r="B313" s="1288"/>
      <c r="C313" s="1288"/>
      <c r="D313" s="1289"/>
      <c r="E313" s="1288"/>
      <c r="F313" s="1288"/>
      <c r="G313" s="1288"/>
      <c r="H313" s="1302"/>
      <c r="I313" s="1292"/>
      <c r="J313" s="1292"/>
      <c r="K313" s="1293"/>
      <c r="L313" s="1293"/>
      <c r="M313" s="1293"/>
      <c r="N313" s="1293"/>
      <c r="O313" s="1293"/>
      <c r="P313" s="1293"/>
    </row>
    <row r="314" spans="1:26" ht="19.5" hidden="1">
      <c r="A314" s="1303"/>
      <c r="B314" s="1295" t="s">
        <v>145</v>
      </c>
      <c r="C314" s="1304"/>
      <c r="D314" s="1305"/>
      <c r="E314" s="1296"/>
      <c r="F314" s="1296"/>
      <c r="G314" s="1297"/>
      <c r="H314" s="1298" t="s">
        <v>146</v>
      </c>
      <c r="I314" s="1299">
        <f t="shared" ref="I314:J314" ca="1" si="142">I325</f>
        <v>0</v>
      </c>
      <c r="J314" s="1299">
        <f t="shared" si="142"/>
        <v>0</v>
      </c>
      <c r="K314" s="1300">
        <f ca="1">IF(I314&gt;0,J314*100/I314,0)</f>
        <v>0</v>
      </c>
      <c r="L314" s="1301"/>
      <c r="M314" s="1301"/>
      <c r="N314" s="1301"/>
      <c r="O314" s="1301"/>
      <c r="P314" s="1301"/>
    </row>
    <row r="315" spans="1:26" ht="19.5" hidden="1">
      <c r="A315" s="1063"/>
      <c r="B315" s="1064"/>
      <c r="C315" s="1065" t="s">
        <v>16</v>
      </c>
      <c r="D315" s="1066" t="s">
        <v>17</v>
      </c>
      <c r="E315" s="1064"/>
      <c r="F315" s="1064"/>
      <c r="G315" s="1067"/>
      <c r="H315" s="1068" t="s">
        <v>12</v>
      </c>
      <c r="I315" s="1069"/>
      <c r="J315" s="1069"/>
      <c r="K315" s="1070"/>
      <c r="L315" s="1071">
        <f t="shared" ref="L315:N315" ca="1" si="143">L316+L317</f>
        <v>0</v>
      </c>
      <c r="M315" s="1071">
        <f t="shared" ca="1" si="143"/>
        <v>0</v>
      </c>
      <c r="N315" s="1071">
        <f t="shared" ca="1" si="143"/>
        <v>0</v>
      </c>
      <c r="O315" s="1071">
        <f t="shared" ref="O315:O323" ca="1" si="144">IF(L315&gt;0,N315*100/L315,0)</f>
        <v>0</v>
      </c>
      <c r="P315" s="1071">
        <f t="shared" ref="P315:P323" ca="1" si="145">IF(M315&gt;0,N315*100/M315,0)</f>
        <v>0</v>
      </c>
      <c r="Q315" s="935"/>
      <c r="R315" s="935"/>
      <c r="S315" s="935"/>
      <c r="T315" s="935"/>
      <c r="U315" s="935"/>
      <c r="V315" s="935"/>
      <c r="W315" s="935"/>
      <c r="X315" s="935"/>
      <c r="Y315" s="935"/>
      <c r="Z315" s="935"/>
    </row>
    <row r="316" spans="1:26" ht="18.75" hidden="1">
      <c r="A316" s="1072"/>
      <c r="B316" s="952"/>
      <c r="C316" s="952"/>
      <c r="D316" s="952"/>
      <c r="E316" s="953" t="s">
        <v>18</v>
      </c>
      <c r="F316" s="952"/>
      <c r="G316" s="1073"/>
      <c r="H316" s="1074" t="s">
        <v>12</v>
      </c>
      <c r="I316" s="956"/>
      <c r="J316" s="956"/>
      <c r="K316" s="957"/>
      <c r="L316" s="957">
        <f t="shared" ref="L316:N317" si="146">L319+L322</f>
        <v>0</v>
      </c>
      <c r="M316" s="957">
        <f t="shared" si="146"/>
        <v>0</v>
      </c>
      <c r="N316" s="957">
        <f t="shared" si="146"/>
        <v>0</v>
      </c>
      <c r="O316" s="957">
        <f t="shared" si="144"/>
        <v>0</v>
      </c>
      <c r="P316" s="957">
        <f t="shared" si="145"/>
        <v>0</v>
      </c>
      <c r="Q316" s="943"/>
      <c r="R316" s="943"/>
      <c r="S316" s="943"/>
      <c r="T316" s="943"/>
      <c r="U316" s="943"/>
      <c r="V316" s="943"/>
      <c r="W316" s="943"/>
      <c r="X316" s="943"/>
      <c r="Y316" s="943"/>
      <c r="Z316" s="943"/>
    </row>
    <row r="317" spans="1:26" ht="18.75" hidden="1">
      <c r="A317" s="1072"/>
      <c r="B317" s="952"/>
      <c r="C317" s="952"/>
      <c r="D317" s="952"/>
      <c r="E317" s="953" t="s">
        <v>19</v>
      </c>
      <c r="F317" s="952"/>
      <c r="G317" s="1073"/>
      <c r="H317" s="1074" t="s">
        <v>12</v>
      </c>
      <c r="I317" s="956"/>
      <c r="J317" s="956"/>
      <c r="K317" s="957"/>
      <c r="L317" s="957">
        <f t="shared" ca="1" si="146"/>
        <v>0</v>
      </c>
      <c r="M317" s="957">
        <f t="shared" ca="1" si="146"/>
        <v>0</v>
      </c>
      <c r="N317" s="957">
        <f t="shared" ca="1" si="146"/>
        <v>0</v>
      </c>
      <c r="O317" s="957">
        <f t="shared" ca="1" si="144"/>
        <v>0</v>
      </c>
      <c r="P317" s="957">
        <f t="shared" ca="1" si="145"/>
        <v>0</v>
      </c>
      <c r="Q317" s="943"/>
      <c r="R317" s="943"/>
      <c r="S317" s="943"/>
      <c r="T317" s="943"/>
      <c r="U317" s="943"/>
      <c r="V317" s="943"/>
      <c r="W317" s="943"/>
      <c r="X317" s="943"/>
      <c r="Y317" s="943"/>
      <c r="Z317" s="943"/>
    </row>
    <row r="318" spans="1:26" ht="18.75" hidden="1">
      <c r="A318" s="1075"/>
      <c r="B318" s="945"/>
      <c r="C318" s="1076"/>
      <c r="D318" s="946" t="s">
        <v>20</v>
      </c>
      <c r="E318" s="945"/>
      <c r="F318" s="945"/>
      <c r="G318" s="947"/>
      <c r="H318" s="1077" t="s">
        <v>12</v>
      </c>
      <c r="I318" s="1078"/>
      <c r="J318" s="1078"/>
      <c r="K318" s="1079"/>
      <c r="L318" s="950">
        <f t="shared" ref="L318:N318" ca="1" si="147">L319+L320</f>
        <v>0</v>
      </c>
      <c r="M318" s="950">
        <f t="shared" ca="1" si="147"/>
        <v>0</v>
      </c>
      <c r="N318" s="950">
        <f t="shared" ca="1" si="147"/>
        <v>0</v>
      </c>
      <c r="O318" s="950">
        <f t="shared" ca="1" si="144"/>
        <v>0</v>
      </c>
      <c r="P318" s="950">
        <f t="shared" ca="1" si="145"/>
        <v>0</v>
      </c>
      <c r="Q318" s="935"/>
      <c r="R318" s="935"/>
      <c r="S318" s="935"/>
      <c r="T318" s="935"/>
      <c r="U318" s="935"/>
      <c r="V318" s="935"/>
      <c r="W318" s="935"/>
      <c r="X318" s="935"/>
      <c r="Y318" s="935"/>
      <c r="Z318" s="935"/>
    </row>
    <row r="319" spans="1:26" ht="19.5" hidden="1">
      <c r="A319" s="1072"/>
      <c r="B319" s="952"/>
      <c r="C319" s="1080"/>
      <c r="D319" s="952"/>
      <c r="E319" s="953" t="s">
        <v>36</v>
      </c>
      <c r="F319" s="952"/>
      <c r="G319" s="1073"/>
      <c r="H319" s="1081" t="s">
        <v>12</v>
      </c>
      <c r="I319" s="1082"/>
      <c r="J319" s="1082"/>
      <c r="K319" s="1083"/>
      <c r="L319" s="957">
        <v>0</v>
      </c>
      <c r="M319" s="957">
        <v>0</v>
      </c>
      <c r="N319" s="957">
        <v>0</v>
      </c>
      <c r="O319" s="957">
        <f t="shared" si="144"/>
        <v>0</v>
      </c>
      <c r="P319" s="957">
        <f t="shared" si="145"/>
        <v>0</v>
      </c>
      <c r="Q319" s="943"/>
      <c r="R319" s="943"/>
      <c r="S319" s="943"/>
      <c r="T319" s="943"/>
      <c r="U319" s="943"/>
      <c r="V319" s="943"/>
      <c r="W319" s="943"/>
      <c r="X319" s="943"/>
      <c r="Y319" s="943"/>
      <c r="Z319" s="943"/>
    </row>
    <row r="320" spans="1:26" ht="19.5" hidden="1">
      <c r="A320" s="1072"/>
      <c r="B320" s="952"/>
      <c r="C320" s="1080"/>
      <c r="D320" s="952"/>
      <c r="E320" s="953" t="s">
        <v>37</v>
      </c>
      <c r="F320" s="952"/>
      <c r="G320" s="1073"/>
      <c r="H320" s="1081" t="s">
        <v>12</v>
      </c>
      <c r="I320" s="1082"/>
      <c r="J320" s="1082"/>
      <c r="K320" s="1083"/>
      <c r="L320" s="957">
        <f ca="1">IFERROR(__xludf.DUMMYFUNCTION("IMPORTRANGE(""https://docs.google.com/spreadsheets/d/1MeEWN-I1oV_STSDYn1IFDPWt_1FKiwhDph83XaGc0o0/edit?usp=sharing"",""งบพรบ!EC62"")"),0)</f>
        <v>0</v>
      </c>
      <c r="M320" s="957">
        <f ca="1">IFERROR(__xludf.DUMMYFUNCTION("IMPORTRANGE(""https://docs.google.com/spreadsheets/d/1MeEWN-I1oV_STSDYn1IFDPWt_1FKiwhDph83XaGc0o0/edit?usp=sharing"",""งบพรบ!EH62"")"),0)</f>
        <v>0</v>
      </c>
      <c r="N320" s="957">
        <f ca="1">IFERROR(__xludf.DUMMYFUNCTION("IMPORTRANGE(""https://docs.google.com/spreadsheets/d/1MeEWN-I1oV_STSDYn1IFDPWt_1FKiwhDph83XaGc0o0/edit?usp=sharing"",""งบพรบ!EJ62"")"),0)</f>
        <v>0</v>
      </c>
      <c r="O320" s="957">
        <f t="shared" ca="1" si="144"/>
        <v>0</v>
      </c>
      <c r="P320" s="957">
        <f t="shared" ca="1" si="145"/>
        <v>0</v>
      </c>
      <c r="Q320" s="943"/>
      <c r="R320" s="943"/>
      <c r="S320" s="943"/>
      <c r="T320" s="943"/>
      <c r="U320" s="943"/>
      <c r="V320" s="943"/>
      <c r="W320" s="943"/>
      <c r="X320" s="943"/>
      <c r="Y320" s="943"/>
      <c r="Z320" s="943"/>
    </row>
    <row r="321" spans="1:26" ht="18.75" hidden="1">
      <c r="A321" s="1075"/>
      <c r="B321" s="945"/>
      <c r="C321" s="1076"/>
      <c r="D321" s="946" t="s">
        <v>21</v>
      </c>
      <c r="E321" s="945"/>
      <c r="F321" s="945"/>
      <c r="G321" s="947"/>
      <c r="H321" s="1084" t="s">
        <v>12</v>
      </c>
      <c r="I321" s="1078"/>
      <c r="J321" s="1078"/>
      <c r="K321" s="1079"/>
      <c r="L321" s="950">
        <f t="shared" ref="L321:N321" ca="1" si="148">L322+L323</f>
        <v>0</v>
      </c>
      <c r="M321" s="950">
        <f t="shared" ca="1" si="148"/>
        <v>0</v>
      </c>
      <c r="N321" s="950">
        <f t="shared" ca="1" si="148"/>
        <v>0</v>
      </c>
      <c r="O321" s="950">
        <f t="shared" ca="1" si="144"/>
        <v>0</v>
      </c>
      <c r="P321" s="950">
        <f t="shared" ca="1" si="145"/>
        <v>0</v>
      </c>
      <c r="Q321" s="935"/>
      <c r="R321" s="935"/>
      <c r="S321" s="935"/>
      <c r="T321" s="935"/>
      <c r="U321" s="935"/>
      <c r="V321" s="935"/>
      <c r="W321" s="935"/>
      <c r="X321" s="935"/>
      <c r="Y321" s="935"/>
      <c r="Z321" s="935"/>
    </row>
    <row r="322" spans="1:26" ht="19.5" hidden="1">
      <c r="A322" s="1072"/>
      <c r="B322" s="952"/>
      <c r="C322" s="1080"/>
      <c r="D322" s="952"/>
      <c r="E322" s="953" t="s">
        <v>18</v>
      </c>
      <c r="F322" s="952"/>
      <c r="G322" s="1073"/>
      <c r="H322" s="1081" t="s">
        <v>12</v>
      </c>
      <c r="I322" s="1082"/>
      <c r="J322" s="1082"/>
      <c r="K322" s="1083"/>
      <c r="L322" s="957">
        <v>0</v>
      </c>
      <c r="M322" s="957">
        <v>0</v>
      </c>
      <c r="N322" s="957">
        <v>0</v>
      </c>
      <c r="O322" s="957">
        <f t="shared" si="144"/>
        <v>0</v>
      </c>
      <c r="P322" s="957">
        <f t="shared" si="145"/>
        <v>0</v>
      </c>
      <c r="Q322" s="943"/>
      <c r="R322" s="943"/>
      <c r="S322" s="943"/>
      <c r="T322" s="943"/>
      <c r="U322" s="943"/>
      <c r="V322" s="943"/>
      <c r="W322" s="943"/>
      <c r="X322" s="943"/>
      <c r="Y322" s="943"/>
      <c r="Z322" s="943"/>
    </row>
    <row r="323" spans="1:26" ht="19.5" hidden="1">
      <c r="A323" s="1072"/>
      <c r="B323" s="952"/>
      <c r="C323" s="1080"/>
      <c r="D323" s="952"/>
      <c r="E323" s="953" t="s">
        <v>19</v>
      </c>
      <c r="F323" s="952"/>
      <c r="G323" s="1073"/>
      <c r="H323" s="1085" t="s">
        <v>12</v>
      </c>
      <c r="I323" s="1082"/>
      <c r="J323" s="1082"/>
      <c r="K323" s="1083"/>
      <c r="L323" s="957">
        <f ca="1">IFERROR(__xludf.DUMMYFUNCTION("IMPORTRANGE(""https://docs.google.com/spreadsheets/d/1MeEWN-I1oV_STSDYn1IFDPWt_1FKiwhDph83XaGc0o0/edit?usp=sharing"",""งบพรบ!EF62"")"),0)</f>
        <v>0</v>
      </c>
      <c r="M323" s="957">
        <f ca="1">IFERROR(__xludf.DUMMYFUNCTION("IMPORTRANGE(""https://docs.google.com/spreadsheets/d/1MeEWN-I1oV_STSDYn1IFDPWt_1FKiwhDph83XaGc0o0/edit?usp=sharing"",""งบพรบ!EI62"")"),0)</f>
        <v>0</v>
      </c>
      <c r="N323" s="957">
        <f ca="1">IFERROR(__xludf.DUMMYFUNCTION("IMPORTRANGE(""https://docs.google.com/spreadsheets/d/1MeEWN-I1oV_STSDYn1IFDPWt_1FKiwhDph83XaGc0o0/edit?usp=sharing"",""งบพรบ!EK62"")"),0)</f>
        <v>0</v>
      </c>
      <c r="O323" s="957">
        <f t="shared" ca="1" si="144"/>
        <v>0</v>
      </c>
      <c r="P323" s="957">
        <f t="shared" ca="1" si="145"/>
        <v>0</v>
      </c>
      <c r="Q323" s="943"/>
      <c r="R323" s="943"/>
      <c r="S323" s="943"/>
      <c r="T323" s="943"/>
      <c r="U323" s="943"/>
      <c r="V323" s="943"/>
      <c r="W323" s="943"/>
      <c r="X323" s="943"/>
      <c r="Y323" s="943"/>
      <c r="Z323" s="943"/>
    </row>
    <row r="324" spans="1:26" ht="19.5" hidden="1">
      <c r="A324" s="1086"/>
      <c r="B324" s="1087"/>
      <c r="C324" s="1080" t="s">
        <v>16</v>
      </c>
      <c r="D324" s="1088" t="s">
        <v>38</v>
      </c>
      <c r="E324" s="1089"/>
      <c r="F324" s="1089"/>
      <c r="G324" s="1090"/>
      <c r="H324" s="1091"/>
      <c r="I324" s="1078"/>
      <c r="J324" s="949"/>
      <c r="K324" s="950"/>
      <c r="L324" s="950"/>
      <c r="M324" s="950"/>
      <c r="N324" s="950"/>
      <c r="O324" s="1079"/>
      <c r="P324" s="1079"/>
    </row>
    <row r="325" spans="1:26" ht="18.75" hidden="1">
      <c r="A325" s="1086"/>
      <c r="B325" s="1087"/>
      <c r="C325" s="1087"/>
      <c r="D325" s="1092" t="s">
        <v>147</v>
      </c>
      <c r="E325" s="1094"/>
      <c r="F325" s="1093"/>
      <c r="G325" s="1095"/>
      <c r="H325" s="948" t="s">
        <v>146</v>
      </c>
      <c r="I325" s="949">
        <f ca="1">IFERROR(__xludf.DUMMYFUNCTION("IMPORTRANGE(""https://docs.google.com/spreadsheets/d/1QqKyyYR6Q21VydFLVH3TRQUabQu_ym0Zz7PgGX0-kHA/edit?usp=sharing"",""แผน!EF62"")"),0)</f>
        <v>0</v>
      </c>
      <c r="J325" s="1098">
        <v>0</v>
      </c>
      <c r="K325" s="950">
        <f ca="1">IF(I325&gt;0,J325*100/I325,0)</f>
        <v>0</v>
      </c>
      <c r="L325" s="950"/>
      <c r="M325" s="950"/>
      <c r="N325" s="950"/>
      <c r="O325" s="1079"/>
      <c r="P325" s="1079"/>
    </row>
    <row r="326" spans="1:26" ht="19.5">
      <c r="A326" s="1287" t="s">
        <v>148</v>
      </c>
      <c r="B326" s="1288"/>
      <c r="C326" s="1288"/>
      <c r="D326" s="1289"/>
      <c r="E326" s="1288"/>
      <c r="F326" s="1288"/>
      <c r="G326" s="1288"/>
      <c r="H326" s="1302"/>
      <c r="I326" s="1292"/>
      <c r="J326" s="1292"/>
      <c r="K326" s="1293"/>
      <c r="L326" s="1293"/>
      <c r="M326" s="1293"/>
      <c r="N326" s="1293"/>
      <c r="O326" s="1293"/>
      <c r="P326" s="1293"/>
    </row>
    <row r="327" spans="1:26" ht="19.5">
      <c r="A327" s="1294"/>
      <c r="B327" s="1295" t="s">
        <v>149</v>
      </c>
      <c r="C327" s="1305"/>
      <c r="D327" s="1296"/>
      <c r="E327" s="1296"/>
      <c r="F327" s="1296"/>
      <c r="G327" s="1297"/>
      <c r="H327" s="1298" t="s">
        <v>35</v>
      </c>
      <c r="I327" s="1299">
        <f ca="1">IFERROR(__xludf.DUMMYFUNCTION("IMPORTRANGE(""https://docs.google.com/spreadsheets/d/1QqKyyYR6Q21VydFLVH3TRQUabQu_ym0Zz7PgGX0-kHA/edit?usp=sharing"",""แผน!EG62"")"),800)</f>
        <v>800</v>
      </c>
      <c r="J327" s="1299">
        <f ca="1">J338+J341+J342+J343</f>
        <v>818</v>
      </c>
      <c r="K327" s="1300">
        <f ca="1">IF(I327&gt;0,J327*100/I327,0)</f>
        <v>102.25</v>
      </c>
      <c r="L327" s="1301"/>
      <c r="M327" s="1301"/>
      <c r="N327" s="1301"/>
      <c r="O327" s="1301"/>
      <c r="P327" s="1301"/>
    </row>
    <row r="328" spans="1:26" ht="19.5">
      <c r="A328" s="1063"/>
      <c r="B328" s="1064"/>
      <c r="C328" s="1065" t="s">
        <v>16</v>
      </c>
      <c r="D328" s="1066" t="s">
        <v>17</v>
      </c>
      <c r="E328" s="1064"/>
      <c r="F328" s="1064"/>
      <c r="G328" s="1067"/>
      <c r="H328" s="1068" t="s">
        <v>12</v>
      </c>
      <c r="I328" s="1069"/>
      <c r="J328" s="1069"/>
      <c r="K328" s="1070"/>
      <c r="L328" s="1071">
        <f t="shared" ref="L328:N328" ca="1" si="149">L329+L330</f>
        <v>159000</v>
      </c>
      <c r="M328" s="1071">
        <f t="shared" ca="1" si="149"/>
        <v>121750</v>
      </c>
      <c r="N328" s="1071">
        <f t="shared" ca="1" si="149"/>
        <v>81176.67</v>
      </c>
      <c r="O328" s="1071">
        <f t="shared" ref="O328:O336" ca="1" si="150">IF(L328&gt;0,N328*100/L328,0)</f>
        <v>51.054509433962266</v>
      </c>
      <c r="P328" s="1071">
        <f t="shared" ref="P328:P336" ca="1" si="151">IF(M328&gt;0,N328*100/M328,0)</f>
        <v>66.674882956878847</v>
      </c>
      <c r="Q328" s="935"/>
      <c r="R328" s="935"/>
      <c r="S328" s="935"/>
      <c r="T328" s="935"/>
      <c r="U328" s="935"/>
      <c r="V328" s="935"/>
      <c r="W328" s="935"/>
      <c r="X328" s="935"/>
      <c r="Y328" s="935"/>
      <c r="Z328" s="935"/>
    </row>
    <row r="329" spans="1:26" ht="18.75" hidden="1">
      <c r="A329" s="1072"/>
      <c r="B329" s="952"/>
      <c r="C329" s="952"/>
      <c r="D329" s="952"/>
      <c r="E329" s="953" t="s">
        <v>18</v>
      </c>
      <c r="F329" s="952"/>
      <c r="G329" s="1073"/>
      <c r="H329" s="1074" t="s">
        <v>12</v>
      </c>
      <c r="I329" s="956"/>
      <c r="J329" s="956"/>
      <c r="K329" s="957"/>
      <c r="L329" s="957">
        <f t="shared" ref="L329:N330" si="152">L332+L335</f>
        <v>0</v>
      </c>
      <c r="M329" s="957">
        <f t="shared" si="152"/>
        <v>0</v>
      </c>
      <c r="N329" s="957">
        <f t="shared" si="152"/>
        <v>0</v>
      </c>
      <c r="O329" s="957">
        <f t="shared" si="150"/>
        <v>0</v>
      </c>
      <c r="P329" s="957">
        <f t="shared" si="151"/>
        <v>0</v>
      </c>
      <c r="Q329" s="943"/>
      <c r="R329" s="943"/>
      <c r="S329" s="943"/>
      <c r="T329" s="943"/>
      <c r="U329" s="943"/>
      <c r="V329" s="943"/>
      <c r="W329" s="943"/>
      <c r="X329" s="943"/>
      <c r="Y329" s="943"/>
      <c r="Z329" s="943"/>
    </row>
    <row r="330" spans="1:26" ht="18.75" hidden="1">
      <c r="A330" s="1072"/>
      <c r="B330" s="952"/>
      <c r="C330" s="952"/>
      <c r="D330" s="952"/>
      <c r="E330" s="953" t="s">
        <v>19</v>
      </c>
      <c r="F330" s="952"/>
      <c r="G330" s="1073"/>
      <c r="H330" s="1074" t="s">
        <v>12</v>
      </c>
      <c r="I330" s="956"/>
      <c r="J330" s="956"/>
      <c r="K330" s="957"/>
      <c r="L330" s="957">
        <f t="shared" ca="1" si="152"/>
        <v>159000</v>
      </c>
      <c r="M330" s="957">
        <f t="shared" ca="1" si="152"/>
        <v>121750</v>
      </c>
      <c r="N330" s="957">
        <f t="shared" ca="1" si="152"/>
        <v>81176.67</v>
      </c>
      <c r="O330" s="957">
        <f t="shared" ca="1" si="150"/>
        <v>51.054509433962266</v>
      </c>
      <c r="P330" s="957">
        <f t="shared" ca="1" si="151"/>
        <v>66.674882956878847</v>
      </c>
      <c r="Q330" s="943"/>
      <c r="R330" s="943"/>
      <c r="S330" s="943"/>
      <c r="T330" s="943"/>
      <c r="U330" s="943"/>
      <c r="V330" s="943"/>
      <c r="W330" s="943"/>
      <c r="X330" s="943"/>
      <c r="Y330" s="943"/>
      <c r="Z330" s="943"/>
    </row>
    <row r="331" spans="1:26" ht="18.75">
      <c r="A331" s="1075"/>
      <c r="B331" s="945"/>
      <c r="C331" s="1076"/>
      <c r="D331" s="946" t="s">
        <v>20</v>
      </c>
      <c r="E331" s="945"/>
      <c r="F331" s="945"/>
      <c r="G331" s="947"/>
      <c r="H331" s="1077" t="s">
        <v>12</v>
      </c>
      <c r="I331" s="1078"/>
      <c r="J331" s="1078"/>
      <c r="K331" s="1079"/>
      <c r="L331" s="950">
        <f t="shared" ref="L331:N331" ca="1" si="153">L332+L333</f>
        <v>159000</v>
      </c>
      <c r="M331" s="950">
        <f t="shared" ca="1" si="153"/>
        <v>121750</v>
      </c>
      <c r="N331" s="950">
        <f t="shared" ca="1" si="153"/>
        <v>81176.67</v>
      </c>
      <c r="O331" s="950">
        <f t="shared" ca="1" si="150"/>
        <v>51.054509433962266</v>
      </c>
      <c r="P331" s="950">
        <f t="shared" ca="1" si="151"/>
        <v>66.674882956878847</v>
      </c>
      <c r="Q331" s="935"/>
      <c r="R331" s="935"/>
      <c r="S331" s="935"/>
      <c r="T331" s="935"/>
      <c r="U331" s="935"/>
      <c r="V331" s="935"/>
      <c r="W331" s="935"/>
      <c r="X331" s="935"/>
      <c r="Y331" s="935"/>
      <c r="Z331" s="935"/>
    </row>
    <row r="332" spans="1:26" ht="19.5" hidden="1">
      <c r="A332" s="1072"/>
      <c r="B332" s="952"/>
      <c r="C332" s="1080"/>
      <c r="D332" s="952"/>
      <c r="E332" s="953" t="s">
        <v>36</v>
      </c>
      <c r="F332" s="952"/>
      <c r="G332" s="1073"/>
      <c r="H332" s="1081" t="s">
        <v>12</v>
      </c>
      <c r="I332" s="1082"/>
      <c r="J332" s="1082"/>
      <c r="K332" s="1083"/>
      <c r="L332" s="957">
        <v>0</v>
      </c>
      <c r="M332" s="957">
        <v>0</v>
      </c>
      <c r="N332" s="957">
        <v>0</v>
      </c>
      <c r="O332" s="957">
        <f t="shared" si="150"/>
        <v>0</v>
      </c>
      <c r="P332" s="957">
        <f t="shared" si="151"/>
        <v>0</v>
      </c>
      <c r="Q332" s="943"/>
      <c r="R332" s="943"/>
      <c r="S332" s="943"/>
      <c r="T332" s="943"/>
      <c r="U332" s="943"/>
      <c r="V332" s="943"/>
      <c r="W332" s="943"/>
      <c r="X332" s="943"/>
      <c r="Y332" s="943"/>
      <c r="Z332" s="943"/>
    </row>
    <row r="333" spans="1:26" ht="19.5" hidden="1">
      <c r="A333" s="1072"/>
      <c r="B333" s="952"/>
      <c r="C333" s="1080"/>
      <c r="D333" s="952"/>
      <c r="E333" s="953" t="s">
        <v>37</v>
      </c>
      <c r="F333" s="952"/>
      <c r="G333" s="1073"/>
      <c r="H333" s="1081" t="s">
        <v>12</v>
      </c>
      <c r="I333" s="1082"/>
      <c r="J333" s="1082"/>
      <c r="K333" s="1083"/>
      <c r="L333" s="957">
        <f ca="1">IFERROR(__xludf.DUMMYFUNCTION("IMPORTRANGE(""https://docs.google.com/spreadsheets/d/1MeEWN-I1oV_STSDYn1IFDPWt_1FKiwhDph83XaGc0o0/edit?usp=sharing"",""งบพรบ!EM62"")"),159000)</f>
        <v>159000</v>
      </c>
      <c r="M333" s="957">
        <f ca="1">IFERROR(__xludf.DUMMYFUNCTION("IMPORTRANGE(""https://docs.google.com/spreadsheets/d/1MeEWN-I1oV_STSDYn1IFDPWt_1FKiwhDph83XaGc0o0/edit?usp=sharing"",""งบพรบ!ER62"")"),121750)</f>
        <v>121750</v>
      </c>
      <c r="N333" s="957">
        <f ca="1">IFERROR(__xludf.DUMMYFUNCTION("IMPORTRANGE(""https://docs.google.com/spreadsheets/d/1MeEWN-I1oV_STSDYn1IFDPWt_1FKiwhDph83XaGc0o0/edit?usp=sharing"",""งบพรบ!ET62"")"),81176.67)</f>
        <v>81176.67</v>
      </c>
      <c r="O333" s="957">
        <f t="shared" ca="1" si="150"/>
        <v>51.054509433962266</v>
      </c>
      <c r="P333" s="957">
        <f t="shared" ca="1" si="151"/>
        <v>66.674882956878847</v>
      </c>
      <c r="Q333" s="943"/>
      <c r="R333" s="943"/>
      <c r="S333" s="943"/>
      <c r="T333" s="943"/>
      <c r="U333" s="943"/>
      <c r="V333" s="943"/>
      <c r="W333" s="943"/>
      <c r="X333" s="943"/>
      <c r="Y333" s="943"/>
      <c r="Z333" s="943"/>
    </row>
    <row r="334" spans="1:26" ht="18.75">
      <c r="A334" s="1075"/>
      <c r="B334" s="945"/>
      <c r="C334" s="1076"/>
      <c r="D334" s="946" t="s">
        <v>21</v>
      </c>
      <c r="E334" s="945"/>
      <c r="F334" s="945"/>
      <c r="G334" s="947"/>
      <c r="H334" s="1084" t="s">
        <v>12</v>
      </c>
      <c r="I334" s="1078"/>
      <c r="J334" s="1078"/>
      <c r="K334" s="1079"/>
      <c r="L334" s="950">
        <f t="shared" ref="L334:N334" ca="1" si="154">L335+L336</f>
        <v>0</v>
      </c>
      <c r="M334" s="950">
        <f t="shared" ca="1" si="154"/>
        <v>0</v>
      </c>
      <c r="N334" s="950">
        <f t="shared" ca="1" si="154"/>
        <v>0</v>
      </c>
      <c r="O334" s="950">
        <f t="shared" ca="1" si="150"/>
        <v>0</v>
      </c>
      <c r="P334" s="950">
        <f t="shared" ca="1" si="151"/>
        <v>0</v>
      </c>
      <c r="Q334" s="935"/>
      <c r="R334" s="935"/>
      <c r="S334" s="935"/>
      <c r="T334" s="935"/>
      <c r="U334" s="935"/>
      <c r="V334" s="935"/>
      <c r="W334" s="935"/>
      <c r="X334" s="935"/>
      <c r="Y334" s="935"/>
      <c r="Z334" s="935"/>
    </row>
    <row r="335" spans="1:26" ht="19.5" hidden="1">
      <c r="A335" s="1072"/>
      <c r="B335" s="952"/>
      <c r="C335" s="1080"/>
      <c r="D335" s="952"/>
      <c r="E335" s="953" t="s">
        <v>18</v>
      </c>
      <c r="F335" s="952"/>
      <c r="G335" s="1073"/>
      <c r="H335" s="1081" t="s">
        <v>12</v>
      </c>
      <c r="I335" s="1082"/>
      <c r="J335" s="1082"/>
      <c r="K335" s="1083"/>
      <c r="L335" s="957">
        <v>0</v>
      </c>
      <c r="M335" s="957">
        <v>0</v>
      </c>
      <c r="N335" s="957">
        <v>0</v>
      </c>
      <c r="O335" s="957">
        <f t="shared" si="150"/>
        <v>0</v>
      </c>
      <c r="P335" s="957">
        <f t="shared" si="151"/>
        <v>0</v>
      </c>
      <c r="Q335" s="943"/>
      <c r="R335" s="943"/>
      <c r="S335" s="943"/>
      <c r="T335" s="943"/>
      <c r="U335" s="943"/>
      <c r="V335" s="943"/>
      <c r="W335" s="943"/>
      <c r="X335" s="943"/>
      <c r="Y335" s="943"/>
      <c r="Z335" s="943"/>
    </row>
    <row r="336" spans="1:26" ht="19.5" hidden="1">
      <c r="A336" s="1072"/>
      <c r="B336" s="952"/>
      <c r="C336" s="1080"/>
      <c r="D336" s="952"/>
      <c r="E336" s="953" t="s">
        <v>19</v>
      </c>
      <c r="F336" s="952"/>
      <c r="G336" s="1073"/>
      <c r="H336" s="1085" t="s">
        <v>12</v>
      </c>
      <c r="I336" s="1082"/>
      <c r="J336" s="1082"/>
      <c r="K336" s="1083"/>
      <c r="L336" s="957">
        <f ca="1">IFERROR(__xludf.DUMMYFUNCTION("IMPORTRANGE(""https://docs.google.com/spreadsheets/d/1MeEWN-I1oV_STSDYn1IFDPWt_1FKiwhDph83XaGc0o0/edit?usp=sharing"",""งบพรบ!EP62"")"),0)</f>
        <v>0</v>
      </c>
      <c r="M336" s="957">
        <f ca="1">IFERROR(__xludf.DUMMYFUNCTION("IMPORTRANGE(""https://docs.google.com/spreadsheets/d/1MeEWN-I1oV_STSDYn1IFDPWt_1FKiwhDph83XaGc0o0/edit?usp=sharing"",""งบพรบ!ES62"")"),0)</f>
        <v>0</v>
      </c>
      <c r="N336" s="957">
        <f ca="1">IFERROR(__xludf.DUMMYFUNCTION("IMPORTRANGE(""https://docs.google.com/spreadsheets/d/1MeEWN-I1oV_STSDYn1IFDPWt_1FKiwhDph83XaGc0o0/edit?usp=sharing"",""งบพรบ!EU62"")"),0)</f>
        <v>0</v>
      </c>
      <c r="O336" s="957">
        <f t="shared" ca="1" si="150"/>
        <v>0</v>
      </c>
      <c r="P336" s="957">
        <f t="shared" ca="1" si="151"/>
        <v>0</v>
      </c>
      <c r="Q336" s="943"/>
      <c r="R336" s="943"/>
      <c r="S336" s="943"/>
      <c r="T336" s="943"/>
      <c r="U336" s="943"/>
      <c r="V336" s="943"/>
      <c r="W336" s="943"/>
      <c r="X336" s="943"/>
      <c r="Y336" s="943"/>
      <c r="Z336" s="943"/>
    </row>
    <row r="337" spans="1:26" ht="19.5">
      <c r="A337" s="1086"/>
      <c r="B337" s="1087"/>
      <c r="C337" s="1080" t="s">
        <v>16</v>
      </c>
      <c r="D337" s="1088" t="s">
        <v>38</v>
      </c>
      <c r="E337" s="1089"/>
      <c r="F337" s="1089"/>
      <c r="G337" s="1090"/>
      <c r="H337" s="1091"/>
      <c r="I337" s="1078"/>
      <c r="J337" s="949"/>
      <c r="K337" s="950"/>
      <c r="L337" s="950"/>
      <c r="M337" s="950"/>
      <c r="N337" s="950"/>
      <c r="O337" s="1079"/>
      <c r="P337" s="1079"/>
    </row>
    <row r="338" spans="1:26" ht="18.75">
      <c r="A338" s="1187"/>
      <c r="B338" s="945"/>
      <c r="C338" s="1185"/>
      <c r="D338" s="1093" t="s">
        <v>150</v>
      </c>
      <c r="E338" s="1087"/>
      <c r="F338" s="945"/>
      <c r="G338" s="947"/>
      <c r="H338" s="1181" t="s">
        <v>35</v>
      </c>
      <c r="I338" s="949">
        <f ca="1">IFERROR(__xludf.DUMMYFUNCTION("IMPORTRANGE(""https://docs.google.com/spreadsheets/d/1QqKyyYR6Q21VydFLVH3TRQUabQu_ym0Zz7PgGX0-kHA/edit?usp=sharing"",""แผน!EG62"")"),800)</f>
        <v>800</v>
      </c>
      <c r="J338" s="949">
        <f ca="1">IFERROR(__xludf.DUMMYFUNCTION("IMPORTRANGE(""https://docs.google.com/spreadsheets/d/1kVcqe37tkHyjCSG3S0O1AXqVkqjo8mSIZil3BcpIysc/edit?usp=sharing"",""ศูนย์!D62"")"),771)</f>
        <v>771</v>
      </c>
      <c r="K338" s="950">
        <f ca="1">IF(I338&gt;0,J338*100/I338,0)</f>
        <v>96.375</v>
      </c>
      <c r="L338" s="950"/>
      <c r="M338" s="950"/>
      <c r="N338" s="950"/>
      <c r="O338" s="950"/>
      <c r="P338" s="950"/>
    </row>
    <row r="339" spans="1:26" ht="18.75">
      <c r="A339" s="1187"/>
      <c r="B339" s="945"/>
      <c r="C339" s="1185"/>
      <c r="D339" s="1093" t="s">
        <v>151</v>
      </c>
      <c r="E339" s="1087"/>
      <c r="F339" s="945"/>
      <c r="G339" s="947"/>
      <c r="H339" s="1181"/>
      <c r="I339" s="949"/>
      <c r="J339" s="949"/>
      <c r="K339" s="950"/>
      <c r="L339" s="950"/>
      <c r="M339" s="950"/>
      <c r="N339" s="950"/>
      <c r="O339" s="950"/>
      <c r="P339" s="950"/>
    </row>
    <row r="340" spans="1:26" ht="18.75">
      <c r="A340" s="1187"/>
      <c r="B340" s="945"/>
      <c r="C340" s="1185"/>
      <c r="D340" s="1094"/>
      <c r="E340" s="1093" t="s">
        <v>152</v>
      </c>
      <c r="F340" s="945"/>
      <c r="G340" s="947"/>
      <c r="H340" s="1181" t="s">
        <v>153</v>
      </c>
      <c r="I340" s="949">
        <f ca="1">IFERROR(__xludf.DUMMYFUNCTION("IMPORTRANGE(""https://docs.google.com/spreadsheets/d/1QqKyyYR6Q21VydFLVH3TRQUabQu_ym0Zz7PgGX0-kHA/edit?usp=sharing"",""แผน!EH62"")"),3)</f>
        <v>3</v>
      </c>
      <c r="J340" s="949">
        <f ca="1">IFERROR(__xludf.DUMMYFUNCTION("IMPORTRANGE(""https://docs.google.com/spreadsheets/d/1kVcqe37tkHyjCSG3S0O1AXqVkqjo8mSIZil3BcpIysc/edit?usp=sharing"",""ศูนย์!E62"")"),0)</f>
        <v>0</v>
      </c>
      <c r="K340" s="950">
        <f ca="1">IF(I340&gt;0,J340*100/I340,0)</f>
        <v>0</v>
      </c>
      <c r="L340" s="950"/>
      <c r="M340" s="950"/>
      <c r="N340" s="950"/>
      <c r="O340" s="950"/>
      <c r="P340" s="950"/>
    </row>
    <row r="341" spans="1:26" ht="18.75">
      <c r="A341" s="1187"/>
      <c r="B341" s="945"/>
      <c r="C341" s="1185"/>
      <c r="D341" s="1094"/>
      <c r="E341" s="1093" t="s">
        <v>154</v>
      </c>
      <c r="F341" s="945"/>
      <c r="G341" s="947"/>
      <c r="H341" s="1181" t="s">
        <v>35</v>
      </c>
      <c r="I341" s="949"/>
      <c r="J341" s="949">
        <f ca="1">IFERROR(__xludf.DUMMYFUNCTION("IMPORTRANGE(""https://docs.google.com/spreadsheets/d/1kVcqe37tkHyjCSG3S0O1AXqVkqjo8mSIZil3BcpIysc/edit?usp=sharing"",""ศูนย์!F62"")"),0)</f>
        <v>0</v>
      </c>
      <c r="K341" s="950"/>
      <c r="L341" s="950"/>
      <c r="M341" s="950"/>
      <c r="N341" s="950"/>
      <c r="O341" s="950"/>
      <c r="P341" s="950"/>
    </row>
    <row r="342" spans="1:26" ht="18.75">
      <c r="A342" s="1187"/>
      <c r="B342" s="945"/>
      <c r="C342" s="1185"/>
      <c r="D342" s="1093" t="s">
        <v>155</v>
      </c>
      <c r="E342" s="1094"/>
      <c r="F342" s="1094"/>
      <c r="G342" s="947"/>
      <c r="H342" s="1181" t="s">
        <v>35</v>
      </c>
      <c r="I342" s="949"/>
      <c r="J342" s="949">
        <f ca="1">IFERROR(__xludf.DUMMYFUNCTION("IMPORTRANGE(""https://docs.google.com/spreadsheets/d/1kVcqe37tkHyjCSG3S0O1AXqVkqjo8mSIZil3BcpIysc/edit?usp=sharing"",""ศูนย์!G62"")"),0)</f>
        <v>0</v>
      </c>
      <c r="K342" s="950"/>
      <c r="L342" s="950"/>
      <c r="M342" s="950"/>
      <c r="N342" s="950"/>
      <c r="O342" s="950"/>
      <c r="P342" s="950"/>
    </row>
    <row r="343" spans="1:26" ht="18.75">
      <c r="A343" s="1187"/>
      <c r="B343" s="945"/>
      <c r="C343" s="1185"/>
      <c r="D343" s="1093" t="s">
        <v>156</v>
      </c>
      <c r="E343" s="1094"/>
      <c r="F343" s="1094"/>
      <c r="G343" s="947"/>
      <c r="H343" s="1181" t="s">
        <v>35</v>
      </c>
      <c r="I343" s="949"/>
      <c r="J343" s="949">
        <f ca="1">IFERROR(__xludf.DUMMYFUNCTION("IMPORTRANGE(""https://docs.google.com/spreadsheets/d/1kVcqe37tkHyjCSG3S0O1AXqVkqjo8mSIZil3BcpIysc/edit?usp=sharing"",""ศูนย์!H62"")"),47)</f>
        <v>47</v>
      </c>
      <c r="K343" s="950"/>
      <c r="L343" s="950"/>
      <c r="M343" s="950"/>
      <c r="N343" s="950"/>
      <c r="O343" s="950"/>
      <c r="P343" s="950"/>
    </row>
    <row r="344" spans="1:26" ht="19.5">
      <c r="A344" s="1294"/>
      <c r="B344" s="1295" t="s">
        <v>157</v>
      </c>
      <c r="C344" s="1305"/>
      <c r="D344" s="1296"/>
      <c r="E344" s="1296"/>
      <c r="F344" s="1296"/>
      <c r="G344" s="1297"/>
      <c r="H344" s="1298"/>
      <c r="I344" s="1306"/>
      <c r="J344" s="1306"/>
      <c r="K344" s="1301"/>
      <c r="L344" s="1301"/>
      <c r="M344" s="1301"/>
      <c r="N344" s="1301"/>
      <c r="O344" s="1301"/>
      <c r="P344" s="1301"/>
    </row>
    <row r="345" spans="1:26" ht="19.5">
      <c r="A345" s="1063"/>
      <c r="B345" s="1064"/>
      <c r="C345" s="1065" t="s">
        <v>16</v>
      </c>
      <c r="D345" s="1066" t="s">
        <v>17</v>
      </c>
      <c r="E345" s="1064"/>
      <c r="F345" s="1064"/>
      <c r="G345" s="1067"/>
      <c r="H345" s="1068" t="s">
        <v>12</v>
      </c>
      <c r="I345" s="1069"/>
      <c r="J345" s="1069"/>
      <c r="K345" s="1070"/>
      <c r="L345" s="1071">
        <f t="shared" ref="L345:N345" ca="1" si="155">L346+L347</f>
        <v>636860</v>
      </c>
      <c r="M345" s="1071">
        <f t="shared" ca="1" si="155"/>
        <v>522450</v>
      </c>
      <c r="N345" s="1071">
        <f t="shared" ca="1" si="155"/>
        <v>369421.89</v>
      </c>
      <c r="O345" s="1071">
        <f t="shared" ref="O345:O353" ca="1" si="156">IF(L345&gt;0,N345*100/L345,0)</f>
        <v>58.006766008227871</v>
      </c>
      <c r="P345" s="1071">
        <f t="shared" ref="P345:P353" ca="1" si="157">IF(M345&gt;0,N345*100/M345,0)</f>
        <v>70.709520528280223</v>
      </c>
      <c r="Q345" s="935"/>
      <c r="R345" s="935"/>
      <c r="S345" s="935"/>
      <c r="T345" s="935"/>
      <c r="U345" s="935"/>
      <c r="V345" s="935"/>
      <c r="W345" s="935"/>
      <c r="X345" s="935"/>
      <c r="Y345" s="935"/>
      <c r="Z345" s="935"/>
    </row>
    <row r="346" spans="1:26" ht="18.75" hidden="1">
      <c r="A346" s="1072"/>
      <c r="B346" s="952"/>
      <c r="C346" s="952"/>
      <c r="D346" s="952"/>
      <c r="E346" s="953" t="s">
        <v>18</v>
      </c>
      <c r="F346" s="952"/>
      <c r="G346" s="1073"/>
      <c r="H346" s="1074" t="s">
        <v>12</v>
      </c>
      <c r="I346" s="956"/>
      <c r="J346" s="956"/>
      <c r="K346" s="957"/>
      <c r="L346" s="957">
        <f t="shared" ref="L346:N347" si="158">L349+L352</f>
        <v>0</v>
      </c>
      <c r="M346" s="957">
        <f t="shared" si="158"/>
        <v>0</v>
      </c>
      <c r="N346" s="957">
        <f t="shared" si="158"/>
        <v>0</v>
      </c>
      <c r="O346" s="957">
        <f t="shared" si="156"/>
        <v>0</v>
      </c>
      <c r="P346" s="957">
        <f t="shared" si="157"/>
        <v>0</v>
      </c>
      <c r="Q346" s="943"/>
      <c r="R346" s="943"/>
      <c r="S346" s="943"/>
      <c r="T346" s="943"/>
      <c r="U346" s="943"/>
      <c r="V346" s="943"/>
      <c r="W346" s="943"/>
      <c r="X346" s="943"/>
      <c r="Y346" s="943"/>
      <c r="Z346" s="943"/>
    </row>
    <row r="347" spans="1:26" ht="18.75" hidden="1">
      <c r="A347" s="1072"/>
      <c r="B347" s="952"/>
      <c r="C347" s="952"/>
      <c r="D347" s="952"/>
      <c r="E347" s="953" t="s">
        <v>19</v>
      </c>
      <c r="F347" s="952"/>
      <c r="G347" s="1073"/>
      <c r="H347" s="1074" t="s">
        <v>12</v>
      </c>
      <c r="I347" s="956"/>
      <c r="J347" s="956"/>
      <c r="K347" s="957"/>
      <c r="L347" s="957">
        <f t="shared" ca="1" si="158"/>
        <v>636860</v>
      </c>
      <c r="M347" s="957">
        <f t="shared" ca="1" si="158"/>
        <v>522450</v>
      </c>
      <c r="N347" s="957">
        <f t="shared" ca="1" si="158"/>
        <v>369421.89</v>
      </c>
      <c r="O347" s="957">
        <f t="shared" ca="1" si="156"/>
        <v>58.006766008227871</v>
      </c>
      <c r="P347" s="957">
        <f t="shared" ca="1" si="157"/>
        <v>70.709520528280223</v>
      </c>
      <c r="Q347" s="943"/>
      <c r="R347" s="943"/>
      <c r="S347" s="943"/>
      <c r="T347" s="943"/>
      <c r="U347" s="943"/>
      <c r="V347" s="943"/>
      <c r="W347" s="943"/>
      <c r="X347" s="943"/>
      <c r="Y347" s="943"/>
      <c r="Z347" s="943"/>
    </row>
    <row r="348" spans="1:26" ht="18.75">
      <c r="A348" s="1075"/>
      <c r="B348" s="945"/>
      <c r="C348" s="1076"/>
      <c r="D348" s="946" t="s">
        <v>20</v>
      </c>
      <c r="E348" s="945"/>
      <c r="F348" s="945"/>
      <c r="G348" s="947"/>
      <c r="H348" s="1077" t="s">
        <v>12</v>
      </c>
      <c r="I348" s="1078"/>
      <c r="J348" s="1078"/>
      <c r="K348" s="1079"/>
      <c r="L348" s="950">
        <f t="shared" ref="L348:N348" ca="1" si="159">L349+L350</f>
        <v>485260</v>
      </c>
      <c r="M348" s="950">
        <f t="shared" ca="1" si="159"/>
        <v>370850</v>
      </c>
      <c r="N348" s="950">
        <f t="shared" ca="1" si="159"/>
        <v>217821.89</v>
      </c>
      <c r="O348" s="950">
        <f t="shared" ca="1" si="156"/>
        <v>44.887666405638214</v>
      </c>
      <c r="P348" s="950">
        <f t="shared" ca="1" si="157"/>
        <v>58.735847377645946</v>
      </c>
      <c r="Q348" s="935"/>
      <c r="R348" s="935"/>
      <c r="S348" s="935"/>
      <c r="T348" s="935"/>
      <c r="U348" s="935"/>
      <c r="V348" s="935"/>
      <c r="W348" s="935"/>
      <c r="X348" s="935"/>
      <c r="Y348" s="935"/>
      <c r="Z348" s="935"/>
    </row>
    <row r="349" spans="1:26" ht="19.5" hidden="1">
      <c r="A349" s="1072"/>
      <c r="B349" s="952"/>
      <c r="C349" s="1080"/>
      <c r="D349" s="952"/>
      <c r="E349" s="953" t="s">
        <v>36</v>
      </c>
      <c r="F349" s="952"/>
      <c r="G349" s="1073"/>
      <c r="H349" s="1081" t="s">
        <v>12</v>
      </c>
      <c r="I349" s="1082"/>
      <c r="J349" s="1082"/>
      <c r="K349" s="1083"/>
      <c r="L349" s="957">
        <v>0</v>
      </c>
      <c r="M349" s="957">
        <v>0</v>
      </c>
      <c r="N349" s="957">
        <v>0</v>
      </c>
      <c r="O349" s="957">
        <f t="shared" si="156"/>
        <v>0</v>
      </c>
      <c r="P349" s="957">
        <f t="shared" si="157"/>
        <v>0</v>
      </c>
      <c r="Q349" s="943"/>
      <c r="R349" s="943"/>
      <c r="S349" s="943"/>
      <c r="T349" s="943"/>
      <c r="U349" s="943"/>
      <c r="V349" s="943"/>
      <c r="W349" s="943"/>
      <c r="X349" s="943"/>
      <c r="Y349" s="943"/>
      <c r="Z349" s="943"/>
    </row>
    <row r="350" spans="1:26" ht="19.5" hidden="1">
      <c r="A350" s="1072"/>
      <c r="B350" s="952"/>
      <c r="C350" s="1080"/>
      <c r="D350" s="952"/>
      <c r="E350" s="953" t="s">
        <v>37</v>
      </c>
      <c r="F350" s="952"/>
      <c r="G350" s="1073"/>
      <c r="H350" s="1081" t="s">
        <v>12</v>
      </c>
      <c r="I350" s="1082"/>
      <c r="J350" s="1082"/>
      <c r="K350" s="1083"/>
      <c r="L350" s="957">
        <f ca="1">IFERROR(__xludf.DUMMYFUNCTION("IMPORTRANGE(""https://docs.google.com/spreadsheets/d/1MeEWN-I1oV_STSDYn1IFDPWt_1FKiwhDph83XaGc0o0/edit?usp=sharing"",""งบพรบ!EW62"")"),485260)</f>
        <v>485260</v>
      </c>
      <c r="M350" s="957">
        <f ca="1">IFERROR(__xludf.DUMMYFUNCTION("IMPORTRANGE(""https://docs.google.com/spreadsheets/d/1MeEWN-I1oV_STSDYn1IFDPWt_1FKiwhDph83XaGc0o0/edit?usp=sharing"",""งบพรบ!FB62"")"),370850)</f>
        <v>370850</v>
      </c>
      <c r="N350" s="957">
        <f ca="1">IFERROR(__xludf.DUMMYFUNCTION("IMPORTRANGE(""https://docs.google.com/spreadsheets/d/1MeEWN-I1oV_STSDYn1IFDPWt_1FKiwhDph83XaGc0o0/edit?usp=sharing"",""งบพรบ!FD62"")"),217821.89)</f>
        <v>217821.89</v>
      </c>
      <c r="O350" s="957">
        <f t="shared" ca="1" si="156"/>
        <v>44.887666405638214</v>
      </c>
      <c r="P350" s="957">
        <f t="shared" ca="1" si="157"/>
        <v>58.735847377645946</v>
      </c>
      <c r="Q350" s="943"/>
      <c r="R350" s="943"/>
      <c r="S350" s="943"/>
      <c r="T350" s="943"/>
      <c r="U350" s="943"/>
      <c r="V350" s="943"/>
      <c r="W350" s="943"/>
      <c r="X350" s="943"/>
      <c r="Y350" s="943"/>
      <c r="Z350" s="943"/>
    </row>
    <row r="351" spans="1:26" ht="18.75">
      <c r="A351" s="1075"/>
      <c r="B351" s="945"/>
      <c r="C351" s="1076"/>
      <c r="D351" s="946" t="s">
        <v>21</v>
      </c>
      <c r="E351" s="945"/>
      <c r="F351" s="945"/>
      <c r="G351" s="947"/>
      <c r="H351" s="1084" t="s">
        <v>12</v>
      </c>
      <c r="I351" s="1078"/>
      <c r="J351" s="1078"/>
      <c r="K351" s="1079"/>
      <c r="L351" s="950">
        <f t="shared" ref="L351:N351" ca="1" si="160">L352+L353</f>
        <v>151600</v>
      </c>
      <c r="M351" s="950">
        <f t="shared" ca="1" si="160"/>
        <v>151600</v>
      </c>
      <c r="N351" s="950">
        <f t="shared" ca="1" si="160"/>
        <v>151600</v>
      </c>
      <c r="O351" s="950">
        <f t="shared" ca="1" si="156"/>
        <v>100</v>
      </c>
      <c r="P351" s="950">
        <f t="shared" ca="1" si="157"/>
        <v>100</v>
      </c>
      <c r="Q351" s="935"/>
      <c r="R351" s="935"/>
      <c r="S351" s="935"/>
      <c r="T351" s="935"/>
      <c r="U351" s="935"/>
      <c r="V351" s="935"/>
      <c r="W351" s="935"/>
      <c r="X351" s="935"/>
      <c r="Y351" s="935"/>
      <c r="Z351" s="935"/>
    </row>
    <row r="352" spans="1:26" ht="19.5" hidden="1">
      <c r="A352" s="1072"/>
      <c r="B352" s="952"/>
      <c r="C352" s="1080"/>
      <c r="D352" s="952"/>
      <c r="E352" s="953" t="s">
        <v>18</v>
      </c>
      <c r="F352" s="952"/>
      <c r="G352" s="1073"/>
      <c r="H352" s="1081" t="s">
        <v>12</v>
      </c>
      <c r="I352" s="1082"/>
      <c r="J352" s="1082"/>
      <c r="K352" s="1083"/>
      <c r="L352" s="957">
        <v>0</v>
      </c>
      <c r="M352" s="957">
        <v>0</v>
      </c>
      <c r="N352" s="957">
        <v>0</v>
      </c>
      <c r="O352" s="957">
        <f t="shared" si="156"/>
        <v>0</v>
      </c>
      <c r="P352" s="957">
        <f t="shared" si="157"/>
        <v>0</v>
      </c>
      <c r="Q352" s="943"/>
      <c r="R352" s="943"/>
      <c r="S352" s="943"/>
      <c r="T352" s="943"/>
      <c r="U352" s="943"/>
      <c r="V352" s="943"/>
      <c r="W352" s="943"/>
      <c r="X352" s="943"/>
      <c r="Y352" s="943"/>
      <c r="Z352" s="943"/>
    </row>
    <row r="353" spans="1:26" ht="19.5" hidden="1">
      <c r="A353" s="1072"/>
      <c r="B353" s="952"/>
      <c r="C353" s="1080"/>
      <c r="D353" s="952"/>
      <c r="E353" s="953" t="s">
        <v>19</v>
      </c>
      <c r="F353" s="952"/>
      <c r="G353" s="1073"/>
      <c r="H353" s="1085" t="s">
        <v>12</v>
      </c>
      <c r="I353" s="1082"/>
      <c r="J353" s="1082"/>
      <c r="K353" s="1083"/>
      <c r="L353" s="957">
        <f ca="1">IFERROR(__xludf.DUMMYFUNCTION("IMPORTRANGE(""https://docs.google.com/spreadsheets/d/1MeEWN-I1oV_STSDYn1IFDPWt_1FKiwhDph83XaGc0o0/edit?usp=sharing"",""งบพรบ!EZ62"")"),151600)</f>
        <v>151600</v>
      </c>
      <c r="M353" s="957">
        <f ca="1">IFERROR(__xludf.DUMMYFUNCTION("IMPORTRANGE(""https://docs.google.com/spreadsheets/d/1MeEWN-I1oV_STSDYn1IFDPWt_1FKiwhDph83XaGc0o0/edit?usp=sharing"",""งบพรบ!FC62"")"),151600)</f>
        <v>151600</v>
      </c>
      <c r="N353" s="957">
        <f ca="1">IFERROR(__xludf.DUMMYFUNCTION("IMPORTRANGE(""https://docs.google.com/spreadsheets/d/1MeEWN-I1oV_STSDYn1IFDPWt_1FKiwhDph83XaGc0o0/edit?usp=sharing"",""งบพรบ!FE62"")"),151600)</f>
        <v>151600</v>
      </c>
      <c r="O353" s="957">
        <f t="shared" ca="1" si="156"/>
        <v>100</v>
      </c>
      <c r="P353" s="957">
        <f t="shared" ca="1" si="157"/>
        <v>100</v>
      </c>
      <c r="Q353" s="943"/>
      <c r="R353" s="943"/>
      <c r="S353" s="943"/>
      <c r="T353" s="943"/>
      <c r="U353" s="943"/>
      <c r="V353" s="943"/>
      <c r="W353" s="943"/>
      <c r="X353" s="943"/>
      <c r="Y353" s="943"/>
      <c r="Z353" s="943"/>
    </row>
    <row r="354" spans="1:26" ht="19.5">
      <c r="A354" s="1161"/>
      <c r="B354" s="1169"/>
      <c r="C354" s="1162"/>
      <c r="D354" s="1307" t="s">
        <v>158</v>
      </c>
      <c r="E354" s="1162"/>
      <c r="F354" s="1162"/>
      <c r="G354" s="1164"/>
      <c r="H354" s="1308"/>
      <c r="I354" s="1166"/>
      <c r="J354" s="1166"/>
      <c r="K354" s="1167"/>
      <c r="L354" s="1167"/>
      <c r="M354" s="1167"/>
      <c r="N354" s="1167"/>
      <c r="O354" s="1167"/>
      <c r="P354" s="1167"/>
    </row>
    <row r="355" spans="1:26" ht="19.5">
      <c r="A355" s="1309"/>
      <c r="B355" s="1310"/>
      <c r="C355" s="1311"/>
      <c r="D355" s="1312" t="s">
        <v>159</v>
      </c>
      <c r="E355" s="1313"/>
      <c r="F355" s="1313"/>
      <c r="G355" s="1314"/>
      <c r="H355" s="1315" t="s">
        <v>35</v>
      </c>
      <c r="I355" s="1316">
        <f ca="1">IFERROR(__xludf.DUMMYFUNCTION("IMPORTRANGE(""https://docs.google.com/spreadsheets/d/1QqKyyYR6Q21VydFLVH3TRQUabQu_ym0Zz7PgGX0-kHA/edit?usp=sharing"",""แผน!EP62"")"),90)</f>
        <v>90</v>
      </c>
      <c r="J355" s="1316">
        <f ca="1">J362</f>
        <v>10</v>
      </c>
      <c r="K355" s="1317">
        <f ca="1">IF(I355&gt;0,J355*100/I355,0)</f>
        <v>11.111111111111111</v>
      </c>
      <c r="L355" s="1318"/>
      <c r="M355" s="1318"/>
      <c r="N355" s="1318"/>
      <c r="O355" s="1318"/>
      <c r="P355" s="1318"/>
    </row>
    <row r="356" spans="1:26" ht="19.5">
      <c r="A356" s="1309"/>
      <c r="B356" s="1310"/>
      <c r="C356" s="1311"/>
      <c r="D356" s="1319" t="s">
        <v>160</v>
      </c>
      <c r="E356" s="1313"/>
      <c r="F356" s="1313"/>
      <c r="G356" s="1314"/>
      <c r="H356" s="1320"/>
      <c r="I356" s="1321"/>
      <c r="J356" s="1321"/>
      <c r="K356" s="1318"/>
      <c r="L356" s="1318"/>
      <c r="M356" s="1318"/>
      <c r="N356" s="1318"/>
      <c r="O356" s="1318"/>
      <c r="P356" s="1318"/>
    </row>
    <row r="357" spans="1:26" ht="19.5">
      <c r="A357" s="1086"/>
      <c r="B357" s="1087"/>
      <c r="C357" s="1080" t="s">
        <v>16</v>
      </c>
      <c r="D357" s="1088" t="s">
        <v>38</v>
      </c>
      <c r="E357" s="1089"/>
      <c r="F357" s="1089"/>
      <c r="G357" s="1090"/>
      <c r="H357" s="1091"/>
      <c r="I357" s="949"/>
      <c r="J357" s="949"/>
      <c r="K357" s="950"/>
      <c r="L357" s="1079"/>
      <c r="M357" s="1079"/>
      <c r="N357" s="1079"/>
      <c r="O357" s="1079"/>
      <c r="P357" s="1079"/>
    </row>
    <row r="358" spans="1:26" ht="18.75">
      <c r="A358" s="1086"/>
      <c r="B358" s="1094"/>
      <c r="C358" s="1087"/>
      <c r="D358" s="1094"/>
      <c r="E358" s="1092" t="s">
        <v>161</v>
      </c>
      <c r="F358" s="1094"/>
      <c r="G358" s="1095"/>
      <c r="H358" s="1099" t="s">
        <v>35</v>
      </c>
      <c r="I358" s="949">
        <v>0</v>
      </c>
      <c r="J358" s="949">
        <f ca="1">IFERROR(__xludf.DUMMYFUNCTION("IMPORTRANGE(""https://docs.google.com/spreadsheets/d/1XWAQStnk-4SwqDmLtmXYiTMKHgktTP8We1SCoS47DrQ/edit?usp=sharing"",""จัดที่ดิน!W62"")"),65)</f>
        <v>65</v>
      </c>
      <c r="K358" s="950">
        <f t="shared" ref="K358:K365" si="161">IF(I358&gt;0,J358*100/I358,0)</f>
        <v>0</v>
      </c>
      <c r="L358" s="1079"/>
      <c r="M358" s="1079"/>
      <c r="N358" s="1079"/>
      <c r="O358" s="1079"/>
      <c r="P358" s="1079"/>
    </row>
    <row r="359" spans="1:26" ht="18.75">
      <c r="A359" s="1086"/>
      <c r="B359" s="1094"/>
      <c r="C359" s="1087"/>
      <c r="D359" s="1094"/>
      <c r="E359" s="1094"/>
      <c r="F359" s="1094"/>
      <c r="G359" s="1095"/>
      <c r="H359" s="1099" t="s">
        <v>46</v>
      </c>
      <c r="I359" s="949">
        <f ca="1">IFERROR(__xludf.DUMMYFUNCTION("IMPORTRANGE(""https://docs.google.com/spreadsheets/d/1QqKyyYR6Q21VydFLVH3TRQUabQu_ym0Zz7PgGX0-kHA/edit?usp=sharing"",""แผน!EO62"")"),760)</f>
        <v>760</v>
      </c>
      <c r="J359" s="949">
        <f ca="1">IFERROR(__xludf.DUMMYFUNCTION("IMPORTRANGE(""https://docs.google.com/spreadsheets/d/1XWAQStnk-4SwqDmLtmXYiTMKHgktTP8We1SCoS47DrQ/edit?usp=sharing"",""จัดที่ดิน!X62"")"),479.6)</f>
        <v>479.6</v>
      </c>
      <c r="K359" s="950">
        <f t="shared" ca="1" si="161"/>
        <v>63.10526315789474</v>
      </c>
      <c r="L359" s="1079"/>
      <c r="M359" s="1079"/>
      <c r="N359" s="1079"/>
      <c r="O359" s="1079"/>
      <c r="P359" s="1079"/>
    </row>
    <row r="360" spans="1:26" ht="18.75">
      <c r="A360" s="1086"/>
      <c r="B360" s="1094"/>
      <c r="C360" s="1087"/>
      <c r="D360" s="1094"/>
      <c r="E360" s="1092" t="s">
        <v>162</v>
      </c>
      <c r="F360" s="1094"/>
      <c r="G360" s="1095"/>
      <c r="H360" s="1097" t="s">
        <v>35</v>
      </c>
      <c r="I360" s="949">
        <f ca="1">IFERROR(__xludf.DUMMYFUNCTION("IMPORTRANGE(""https://docs.google.com/spreadsheets/d/1QqKyyYR6Q21VydFLVH3TRQUabQu_ym0Zz7PgGX0-kHA/edit?usp=sharing"",""แผน!EP62"")"),90)</f>
        <v>90</v>
      </c>
      <c r="J360" s="949">
        <f ca="1">IFERROR(__xludf.DUMMYFUNCTION("IMPORTRANGE(""https://docs.google.com/spreadsheets/d/1XWAQStnk-4SwqDmLtmXYiTMKHgktTP8We1SCoS47DrQ/edit?usp=sharing"",""จัดที่ดิน!Y62"")"),34)</f>
        <v>34</v>
      </c>
      <c r="K360" s="950">
        <f t="shared" ca="1" si="161"/>
        <v>37.777777777777779</v>
      </c>
      <c r="L360" s="1079"/>
      <c r="M360" s="1079"/>
      <c r="N360" s="1079"/>
      <c r="O360" s="1079"/>
      <c r="P360" s="1079"/>
    </row>
    <row r="361" spans="1:26" ht="18.75">
      <c r="A361" s="1086"/>
      <c r="B361" s="1094"/>
      <c r="C361" s="1087"/>
      <c r="D361" s="1094"/>
      <c r="E361" s="1094"/>
      <c r="F361" s="1094"/>
      <c r="G361" s="1095"/>
      <c r="H361" s="1097" t="s">
        <v>46</v>
      </c>
      <c r="I361" s="949">
        <v>0</v>
      </c>
      <c r="J361" s="949">
        <f ca="1">IFERROR(__xludf.DUMMYFUNCTION("IMPORTRANGE(""https://docs.google.com/spreadsheets/d/1XWAQStnk-4SwqDmLtmXYiTMKHgktTP8We1SCoS47DrQ/edit?usp=sharing"",""จัดที่ดิน!Z62"")"),138.05)</f>
        <v>138.05000000000001</v>
      </c>
      <c r="K361" s="950">
        <f t="shared" si="161"/>
        <v>0</v>
      </c>
      <c r="L361" s="1079"/>
      <c r="M361" s="1079"/>
      <c r="N361" s="1079"/>
      <c r="O361" s="1079"/>
      <c r="P361" s="1079"/>
    </row>
    <row r="362" spans="1:26" ht="18.75">
      <c r="A362" s="1086"/>
      <c r="B362" s="1094"/>
      <c r="C362" s="1087"/>
      <c r="D362" s="1094"/>
      <c r="E362" s="1092" t="s">
        <v>163</v>
      </c>
      <c r="F362" s="1094"/>
      <c r="G362" s="1095"/>
      <c r="H362" s="1097" t="s">
        <v>35</v>
      </c>
      <c r="I362" s="949">
        <f ca="1">IFERROR(__xludf.DUMMYFUNCTION("IMPORTRANGE(""https://docs.google.com/spreadsheets/d/1QqKyyYR6Q21VydFLVH3TRQUabQu_ym0Zz7PgGX0-kHA/edit?usp=sharing"",""แผน!EP62"")"),90)</f>
        <v>90</v>
      </c>
      <c r="J362" s="949">
        <f ca="1">IFERROR(__xludf.DUMMYFUNCTION("IMPORTRANGE(""https://docs.google.com/spreadsheets/d/1XWAQStnk-4SwqDmLtmXYiTMKHgktTP8We1SCoS47DrQ/edit?usp=sharing"",""จัดที่ดิน!AA62"")"),10)</f>
        <v>10</v>
      </c>
      <c r="K362" s="950">
        <f t="shared" ca="1" si="161"/>
        <v>11.111111111111111</v>
      </c>
      <c r="L362" s="1079"/>
      <c r="M362" s="1079"/>
      <c r="N362" s="1079"/>
      <c r="O362" s="1079"/>
      <c r="P362" s="1079"/>
    </row>
    <row r="363" spans="1:26" ht="18.75">
      <c r="A363" s="1322" t="s">
        <v>164</v>
      </c>
      <c r="B363" s="1094"/>
      <c r="C363" s="1087"/>
      <c r="D363" s="1094"/>
      <c r="E363" s="1093"/>
      <c r="F363" s="1094"/>
      <c r="G363" s="1095"/>
      <c r="H363" s="1097" t="s">
        <v>46</v>
      </c>
      <c r="I363" s="949">
        <v>0</v>
      </c>
      <c r="J363" s="949">
        <f ca="1">IFERROR(__xludf.DUMMYFUNCTION("IMPORTRANGE(""https://docs.google.com/spreadsheets/d/1XWAQStnk-4SwqDmLtmXYiTMKHgktTP8We1SCoS47DrQ/edit?usp=sharing"",""จัดที่ดิน!AB62"")"),71.5399999999999)</f>
        <v>71.539999999999907</v>
      </c>
      <c r="K363" s="950">
        <f t="shared" si="161"/>
        <v>0</v>
      </c>
      <c r="L363" s="1079"/>
      <c r="M363" s="1079"/>
      <c r="N363" s="1079"/>
      <c r="O363" s="1079"/>
      <c r="P363" s="1079"/>
    </row>
    <row r="364" spans="1:26" ht="19.5">
      <c r="A364" s="1323"/>
      <c r="B364" s="1324"/>
      <c r="C364" s="1325"/>
      <c r="D364" s="1326" t="s">
        <v>165</v>
      </c>
      <c r="E364" s="1327"/>
      <c r="F364" s="1327"/>
      <c r="G364" s="1328"/>
      <c r="H364" s="1329" t="s">
        <v>35</v>
      </c>
      <c r="I364" s="1330">
        <f t="shared" ref="I364:J364" ca="1" si="162">I365+I374</f>
        <v>140</v>
      </c>
      <c r="J364" s="1330">
        <f t="shared" ca="1" si="162"/>
        <v>112</v>
      </c>
      <c r="K364" s="1331">
        <f t="shared" ca="1" si="161"/>
        <v>80</v>
      </c>
      <c r="L364" s="1332"/>
      <c r="M364" s="1332"/>
      <c r="N364" s="1332"/>
      <c r="O364" s="1332"/>
      <c r="P364" s="1332"/>
      <c r="Q364" s="1333"/>
      <c r="R364" s="1333"/>
      <c r="S364" s="1333"/>
      <c r="T364" s="1333"/>
      <c r="U364" s="1333"/>
      <c r="V364" s="1333"/>
      <c r="W364" s="1333"/>
      <c r="X364" s="1333"/>
      <c r="Y364" s="1333"/>
      <c r="Z364" s="1333"/>
    </row>
    <row r="365" spans="1:26" ht="19.5">
      <c r="A365" s="1334"/>
      <c r="B365" s="1335"/>
      <c r="C365" s="1336"/>
      <c r="D365" s="1336" t="s">
        <v>166</v>
      </c>
      <c r="E365" s="1337"/>
      <c r="F365" s="1337"/>
      <c r="G365" s="1338"/>
      <c r="H365" s="1339" t="s">
        <v>35</v>
      </c>
      <c r="I365" s="1340">
        <f ca="1">IFERROR(__xludf.DUMMYFUNCTION("IMPORTRANGE(""https://docs.google.com/spreadsheets/d/1QqKyyYR6Q21VydFLVH3TRQUabQu_ym0Zz7PgGX0-kHA/edit?usp=sharing"",""แผน!EJ62"")"),60)</f>
        <v>60</v>
      </c>
      <c r="J365" s="1340">
        <f ca="1">J372</f>
        <v>3</v>
      </c>
      <c r="K365" s="1341">
        <f t="shared" ca="1" si="161"/>
        <v>5</v>
      </c>
      <c r="L365" s="1342"/>
      <c r="M365" s="1342"/>
      <c r="N365" s="1342"/>
      <c r="O365" s="1342"/>
      <c r="P365" s="1342"/>
      <c r="Q365" s="1333"/>
      <c r="R365" s="1333"/>
      <c r="S365" s="1333"/>
      <c r="T365" s="1333"/>
      <c r="U365" s="1333"/>
      <c r="V365" s="1333"/>
      <c r="W365" s="1333"/>
      <c r="X365" s="1333"/>
      <c r="Y365" s="1333"/>
      <c r="Z365" s="1333"/>
    </row>
    <row r="366" spans="1:26" ht="19.5">
      <c r="A366" s="1334"/>
      <c r="B366" s="1335"/>
      <c r="C366" s="1336"/>
      <c r="D366" s="1343" t="s">
        <v>167</v>
      </c>
      <c r="E366" s="1337"/>
      <c r="F366" s="1337"/>
      <c r="G366" s="1338"/>
      <c r="H366" s="1344"/>
      <c r="I366" s="1345"/>
      <c r="J366" s="1345"/>
      <c r="K366" s="1342"/>
      <c r="L366" s="1342"/>
      <c r="M366" s="1342"/>
      <c r="N366" s="1342"/>
      <c r="O366" s="1342"/>
      <c r="P366" s="1342"/>
      <c r="Q366" s="1333"/>
      <c r="R366" s="1333"/>
      <c r="S366" s="1333"/>
      <c r="T366" s="1333"/>
      <c r="U366" s="1333"/>
      <c r="V366" s="1333"/>
      <c r="W366" s="1333"/>
      <c r="X366" s="1333"/>
      <c r="Y366" s="1333"/>
      <c r="Z366" s="1333"/>
    </row>
    <row r="367" spans="1:26" ht="19.5">
      <c r="A367" s="1086"/>
      <c r="B367" s="1087"/>
      <c r="C367" s="1080" t="s">
        <v>16</v>
      </c>
      <c r="D367" s="1088" t="s">
        <v>38</v>
      </c>
      <c r="E367" s="1089"/>
      <c r="F367" s="1089"/>
      <c r="G367" s="1090"/>
      <c r="H367" s="1091"/>
      <c r="I367" s="949"/>
      <c r="J367" s="949"/>
      <c r="K367" s="950"/>
      <c r="L367" s="1079"/>
      <c r="M367" s="1079"/>
      <c r="N367" s="1079"/>
      <c r="O367" s="1079"/>
      <c r="P367" s="1079"/>
    </row>
    <row r="368" spans="1:26" ht="18.75">
      <c r="A368" s="1086"/>
      <c r="B368" s="1094"/>
      <c r="C368" s="1087"/>
      <c r="D368" s="1094"/>
      <c r="E368" s="1092" t="s">
        <v>161</v>
      </c>
      <c r="F368" s="1094"/>
      <c r="G368" s="1095"/>
      <c r="H368" s="1099" t="s">
        <v>35</v>
      </c>
      <c r="I368" s="949">
        <v>0</v>
      </c>
      <c r="J368" s="949">
        <f ca="1">IFERROR(__xludf.DUMMYFUNCTION("IMPORTRANGE(""https://docs.google.com/spreadsheets/d/1XWAQStnk-4SwqDmLtmXYiTMKHgktTP8We1SCoS47DrQ/edit?usp=sharing"",""จัดที่ดิน!E62"")"),55)</f>
        <v>55</v>
      </c>
      <c r="K368" s="950">
        <f t="shared" ref="K368:K374" si="163">IF(I368&gt;0,J368*100/I368,0)</f>
        <v>0</v>
      </c>
      <c r="L368" s="1079"/>
      <c r="M368" s="1079"/>
      <c r="N368" s="1079"/>
      <c r="O368" s="1079"/>
      <c r="P368" s="1079"/>
    </row>
    <row r="369" spans="1:26" ht="18.75">
      <c r="A369" s="1086"/>
      <c r="B369" s="1094"/>
      <c r="C369" s="1087"/>
      <c r="D369" s="1094"/>
      <c r="E369" s="1094"/>
      <c r="F369" s="1094"/>
      <c r="G369" s="1095"/>
      <c r="H369" s="1099" t="s">
        <v>46</v>
      </c>
      <c r="I369" s="949">
        <f ca="1">IFERROR(__xludf.DUMMYFUNCTION("IMPORTRANGE(""https://docs.google.com/spreadsheets/d/1QqKyyYR6Q21VydFLVH3TRQUabQu_ym0Zz7PgGX0-kHA/edit?usp=sharing"",""แผน!EI62"")"),500)</f>
        <v>500</v>
      </c>
      <c r="J369" s="949">
        <f ca="1">IFERROR(__xludf.DUMMYFUNCTION("IMPORTRANGE(""https://docs.google.com/spreadsheets/d/1XWAQStnk-4SwqDmLtmXYiTMKHgktTP8We1SCoS47DrQ/edit?usp=sharing"",""จัดที่ดิน!F62"")"),428.69)</f>
        <v>428.69</v>
      </c>
      <c r="K369" s="950">
        <f t="shared" ca="1" si="163"/>
        <v>85.738</v>
      </c>
      <c r="L369" s="1079"/>
      <c r="M369" s="1079"/>
      <c r="N369" s="1079"/>
      <c r="O369" s="1079"/>
      <c r="P369" s="1079"/>
    </row>
    <row r="370" spans="1:26" ht="18.75">
      <c r="A370" s="1086"/>
      <c r="B370" s="1094"/>
      <c r="C370" s="1087"/>
      <c r="D370" s="1094"/>
      <c r="E370" s="1092" t="s">
        <v>162</v>
      </c>
      <c r="F370" s="1094"/>
      <c r="G370" s="1095"/>
      <c r="H370" s="1097" t="s">
        <v>35</v>
      </c>
      <c r="I370" s="949">
        <f ca="1">IFERROR(__xludf.DUMMYFUNCTION("IMPORTRANGE(""https://docs.google.com/spreadsheets/d/1QqKyyYR6Q21VydFLVH3TRQUabQu_ym0Zz7PgGX0-kHA/edit?usp=sharing"",""แผน!EJ62"")"),60)</f>
        <v>60</v>
      </c>
      <c r="J370" s="949">
        <f ca="1">IFERROR(__xludf.DUMMYFUNCTION("IMPORTRANGE(""https://docs.google.com/spreadsheets/d/1XWAQStnk-4SwqDmLtmXYiTMKHgktTP8We1SCoS47DrQ/edit?usp=sharing"",""จัดที่ดิน!G62"")"),23)</f>
        <v>23</v>
      </c>
      <c r="K370" s="950">
        <f t="shared" ca="1" si="163"/>
        <v>38.333333333333336</v>
      </c>
      <c r="L370" s="1079"/>
      <c r="M370" s="1079"/>
      <c r="N370" s="1079"/>
      <c r="O370" s="1079"/>
      <c r="P370" s="1079"/>
    </row>
    <row r="371" spans="1:26" ht="18.75">
      <c r="A371" s="1086"/>
      <c r="B371" s="1094"/>
      <c r="C371" s="1087"/>
      <c r="D371" s="1094"/>
      <c r="E371" s="1094"/>
      <c r="F371" s="1094"/>
      <c r="G371" s="1095"/>
      <c r="H371" s="1097" t="s">
        <v>46</v>
      </c>
      <c r="I371" s="949">
        <v>0</v>
      </c>
      <c r="J371" s="949">
        <f ca="1">IFERROR(__xludf.DUMMYFUNCTION("IMPORTRANGE(""https://docs.google.com/spreadsheets/d/1XWAQStnk-4SwqDmLtmXYiTMKHgktTP8We1SCoS47DrQ/edit?usp=sharing"",""จัดที่ดิน!H62"")"),86.43)</f>
        <v>86.43</v>
      </c>
      <c r="K371" s="950">
        <f t="shared" si="163"/>
        <v>0</v>
      </c>
      <c r="L371" s="1079"/>
      <c r="M371" s="1079"/>
      <c r="N371" s="1079"/>
      <c r="O371" s="1079"/>
      <c r="P371" s="1079"/>
    </row>
    <row r="372" spans="1:26" ht="18.75">
      <c r="A372" s="1086"/>
      <c r="B372" s="1094"/>
      <c r="C372" s="1087"/>
      <c r="D372" s="1094"/>
      <c r="E372" s="1092" t="s">
        <v>163</v>
      </c>
      <c r="F372" s="1094"/>
      <c r="G372" s="1095"/>
      <c r="H372" s="1097" t="s">
        <v>35</v>
      </c>
      <c r="I372" s="949">
        <f ca="1">IFERROR(__xludf.DUMMYFUNCTION("IMPORTRANGE(""https://docs.google.com/spreadsheets/d/1QqKyyYR6Q21VydFLVH3TRQUabQu_ym0Zz7PgGX0-kHA/edit?usp=sharing"",""แผน!EJ62"")"),60)</f>
        <v>60</v>
      </c>
      <c r="J372" s="949">
        <f ca="1">IFERROR(__xludf.DUMMYFUNCTION("IMPORTRANGE(""https://docs.google.com/spreadsheets/d/1XWAQStnk-4SwqDmLtmXYiTMKHgktTP8We1SCoS47DrQ/edit?usp=sharing"",""จัดที่ดิน!I62"")"),3)</f>
        <v>3</v>
      </c>
      <c r="K372" s="950">
        <f t="shared" ca="1" si="163"/>
        <v>5</v>
      </c>
      <c r="L372" s="1079"/>
      <c r="M372" s="1079"/>
      <c r="N372" s="1079"/>
      <c r="O372" s="1079"/>
      <c r="P372" s="1079"/>
    </row>
    <row r="373" spans="1:26" ht="18.75">
      <c r="A373" s="1322" t="s">
        <v>164</v>
      </c>
      <c r="B373" s="1094"/>
      <c r="C373" s="1087"/>
      <c r="D373" s="1094"/>
      <c r="E373" s="1093"/>
      <c r="F373" s="1094"/>
      <c r="G373" s="1095"/>
      <c r="H373" s="1097" t="s">
        <v>46</v>
      </c>
      <c r="I373" s="949">
        <v>0</v>
      </c>
      <c r="J373" s="949">
        <f ca="1">IFERROR(__xludf.DUMMYFUNCTION("IMPORTRANGE(""https://docs.google.com/spreadsheets/d/1XWAQStnk-4SwqDmLtmXYiTMKHgktTP8We1SCoS47DrQ/edit?usp=sharing"",""จัดที่ดิน!J62"")"),23.04)</f>
        <v>23.04</v>
      </c>
      <c r="K373" s="950">
        <f t="shared" si="163"/>
        <v>0</v>
      </c>
      <c r="L373" s="1079"/>
      <c r="M373" s="1079"/>
      <c r="N373" s="1079"/>
      <c r="O373" s="1079"/>
      <c r="P373" s="1079"/>
    </row>
    <row r="374" spans="1:26" ht="19.5">
      <c r="A374" s="1334"/>
      <c r="B374" s="1335"/>
      <c r="C374" s="1336"/>
      <c r="D374" s="1336" t="s">
        <v>168</v>
      </c>
      <c r="E374" s="1337"/>
      <c r="F374" s="1337"/>
      <c r="G374" s="1338"/>
      <c r="H374" s="1339" t="s">
        <v>35</v>
      </c>
      <c r="I374" s="1346">
        <f ca="1">IFERROR(__xludf.DUMMYFUNCTION("IMPORTRANGE(""https://docs.google.com/spreadsheets/d/1QqKyyYR6Q21VydFLVH3TRQUabQu_ym0Zz7PgGX0-kHA/edit?usp=sharing"",""แผน!EU62"")"),80)</f>
        <v>80</v>
      </c>
      <c r="J374" s="1340">
        <f ca="1">J381</f>
        <v>109</v>
      </c>
      <c r="K374" s="1341">
        <f t="shared" ca="1" si="163"/>
        <v>136.25</v>
      </c>
      <c r="L374" s="1342"/>
      <c r="M374" s="1342"/>
      <c r="N374" s="1342"/>
      <c r="O374" s="1342"/>
      <c r="P374" s="1342"/>
      <c r="Q374" s="1333"/>
      <c r="R374" s="1333"/>
      <c r="S374" s="1333"/>
      <c r="T374" s="1333"/>
      <c r="U374" s="1333"/>
      <c r="V374" s="1333"/>
      <c r="W374" s="1333"/>
      <c r="X374" s="1333"/>
      <c r="Y374" s="1333"/>
      <c r="Z374" s="1333"/>
    </row>
    <row r="375" spans="1:26" ht="19.5">
      <c r="A375" s="1334"/>
      <c r="B375" s="1335"/>
      <c r="C375" s="1336"/>
      <c r="D375" s="1343" t="s">
        <v>169</v>
      </c>
      <c r="E375" s="1337"/>
      <c r="F375" s="1337"/>
      <c r="G375" s="1338"/>
      <c r="H375" s="1344"/>
      <c r="I375" s="1345"/>
      <c r="J375" s="1345"/>
      <c r="K375" s="1342"/>
      <c r="L375" s="1342"/>
      <c r="M375" s="1342"/>
      <c r="N375" s="1342"/>
      <c r="O375" s="1342"/>
      <c r="P375" s="1342"/>
      <c r="Q375" s="1333"/>
      <c r="R375" s="1333"/>
      <c r="S375" s="1333"/>
      <c r="T375" s="1333"/>
      <c r="U375" s="1333"/>
      <c r="V375" s="1333"/>
      <c r="W375" s="1333"/>
      <c r="X375" s="1333"/>
      <c r="Y375" s="1333"/>
      <c r="Z375" s="1333"/>
    </row>
    <row r="376" spans="1:26" ht="19.5">
      <c r="A376" s="1086"/>
      <c r="B376" s="1087"/>
      <c r="C376" s="1080" t="s">
        <v>16</v>
      </c>
      <c r="D376" s="1088" t="s">
        <v>38</v>
      </c>
      <c r="E376" s="1089"/>
      <c r="F376" s="1089"/>
      <c r="G376" s="1090"/>
      <c r="H376" s="1091"/>
      <c r="I376" s="949"/>
      <c r="J376" s="949"/>
      <c r="K376" s="950"/>
      <c r="L376" s="1079"/>
      <c r="M376" s="1079"/>
      <c r="N376" s="1079"/>
      <c r="O376" s="1079"/>
      <c r="P376" s="1079"/>
    </row>
    <row r="377" spans="1:26" ht="18.75">
      <c r="A377" s="1086"/>
      <c r="B377" s="1094"/>
      <c r="C377" s="1087"/>
      <c r="D377" s="1094"/>
      <c r="E377" s="1092" t="s">
        <v>161</v>
      </c>
      <c r="F377" s="1094"/>
      <c r="G377" s="1095"/>
      <c r="H377" s="1099" t="s">
        <v>35</v>
      </c>
      <c r="I377" s="949">
        <v>0</v>
      </c>
      <c r="J377" s="949">
        <f ca="1">IFERROR(__xludf.DUMMYFUNCTION("IMPORTRANGE(""https://docs.google.com/spreadsheets/d/1XWAQStnk-4SwqDmLtmXYiTMKHgktTP8We1SCoS47DrQ/edit?usp=sharing"",""จัดที่ดิน!AH62"")"),10)</f>
        <v>10</v>
      </c>
      <c r="K377" s="950">
        <f t="shared" ref="K377:K382" si="164">IF(I377&gt;0,J377*100/I377,0)</f>
        <v>0</v>
      </c>
      <c r="L377" s="1079"/>
      <c r="M377" s="1079"/>
      <c r="N377" s="1079"/>
      <c r="O377" s="1079"/>
      <c r="P377" s="1079"/>
    </row>
    <row r="378" spans="1:26" ht="18.75">
      <c r="A378" s="1086"/>
      <c r="B378" s="1094"/>
      <c r="C378" s="1087"/>
      <c r="D378" s="1094"/>
      <c r="E378" s="1094"/>
      <c r="F378" s="1094"/>
      <c r="G378" s="1095"/>
      <c r="H378" s="1099" t="s">
        <v>46</v>
      </c>
      <c r="I378" s="949">
        <f ca="1">IFERROR(__xludf.DUMMYFUNCTION("IMPORTRANGE(""https://docs.google.com/spreadsheets/d/1QqKyyYR6Q21VydFLVH3TRQUabQu_ym0Zz7PgGX0-kHA/edit?usp=sharing"",""แผน!ET62"")"),260)</f>
        <v>260</v>
      </c>
      <c r="J378" s="949">
        <f ca="1">IFERROR(__xludf.DUMMYFUNCTION("IMPORTRANGE(""https://docs.google.com/spreadsheets/d/1XWAQStnk-4SwqDmLtmXYiTMKHgktTP8We1SCoS47DrQ/edit?usp=sharing"",""จัดที่ดิน!AI62"")"),50.91)</f>
        <v>50.91</v>
      </c>
      <c r="K378" s="950">
        <f t="shared" ca="1" si="164"/>
        <v>19.580769230769231</v>
      </c>
      <c r="L378" s="1079"/>
      <c r="M378" s="1079"/>
      <c r="N378" s="1079"/>
      <c r="O378" s="1079"/>
      <c r="P378" s="1079"/>
    </row>
    <row r="379" spans="1:26" ht="18.75">
      <c r="A379" s="1086"/>
      <c r="B379" s="1094"/>
      <c r="C379" s="1087"/>
      <c r="D379" s="1094"/>
      <c r="E379" s="1092" t="s">
        <v>162</v>
      </c>
      <c r="F379" s="1094"/>
      <c r="G379" s="1095"/>
      <c r="H379" s="1097" t="s">
        <v>35</v>
      </c>
      <c r="I379" s="949">
        <f ca="1">IFERROR(__xludf.DUMMYFUNCTION("IMPORTRANGE(""https://docs.google.com/spreadsheets/d/1QqKyyYR6Q21VydFLVH3TRQUabQu_ym0Zz7PgGX0-kHA/edit?usp=sharing"",""แผน!EU62"")"),80)</f>
        <v>80</v>
      </c>
      <c r="J379" s="949">
        <f ca="1">IFERROR(__xludf.DUMMYFUNCTION("IMPORTRANGE(""https://docs.google.com/spreadsheets/d/1XWAQStnk-4SwqDmLtmXYiTMKHgktTP8We1SCoS47DrQ/edit?usp=sharing"",""จัดที่ดิน!AJ62"")"),113)</f>
        <v>113</v>
      </c>
      <c r="K379" s="950">
        <f t="shared" ca="1" si="164"/>
        <v>141.25</v>
      </c>
      <c r="L379" s="1079"/>
      <c r="M379" s="1079"/>
      <c r="N379" s="1079"/>
      <c r="O379" s="1079"/>
      <c r="P379" s="1079"/>
    </row>
    <row r="380" spans="1:26" ht="18.75">
      <c r="A380" s="1086"/>
      <c r="B380" s="1094"/>
      <c r="C380" s="1087"/>
      <c r="D380" s="1094"/>
      <c r="E380" s="1094"/>
      <c r="F380" s="1094"/>
      <c r="G380" s="1095"/>
      <c r="H380" s="1097" t="s">
        <v>46</v>
      </c>
      <c r="I380" s="949">
        <v>0</v>
      </c>
      <c r="J380" s="949">
        <f ca="1">IFERROR(__xludf.DUMMYFUNCTION("IMPORTRANGE(""https://docs.google.com/spreadsheets/d/1XWAQStnk-4SwqDmLtmXYiTMKHgktTP8We1SCoS47DrQ/edit?usp=sharing"",""จัดที่ดิน!AK62"")"),1427.15999999999)</f>
        <v>1427.1599999999901</v>
      </c>
      <c r="K380" s="950">
        <f t="shared" si="164"/>
        <v>0</v>
      </c>
      <c r="L380" s="1079"/>
      <c r="M380" s="1079"/>
      <c r="N380" s="1079"/>
      <c r="O380" s="1079"/>
      <c r="P380" s="1079"/>
    </row>
    <row r="381" spans="1:26" ht="18.75">
      <c r="A381" s="1086"/>
      <c r="B381" s="1094"/>
      <c r="C381" s="1087"/>
      <c r="D381" s="1094"/>
      <c r="E381" s="1092" t="s">
        <v>163</v>
      </c>
      <c r="F381" s="1094"/>
      <c r="G381" s="1095"/>
      <c r="H381" s="1097" t="s">
        <v>35</v>
      </c>
      <c r="I381" s="949">
        <f ca="1">IFERROR(__xludf.DUMMYFUNCTION("IMPORTRANGE(""https://docs.google.com/spreadsheets/d/1QqKyyYR6Q21VydFLVH3TRQUabQu_ym0Zz7PgGX0-kHA/edit?usp=sharing"",""แผน!EU62"")"),80)</f>
        <v>80</v>
      </c>
      <c r="J381" s="949">
        <f ca="1">IFERROR(__xludf.DUMMYFUNCTION("IMPORTRANGE(""https://docs.google.com/spreadsheets/d/1XWAQStnk-4SwqDmLtmXYiTMKHgktTP8We1SCoS47DrQ/edit?usp=sharing"",""จัดที่ดิน!AL62"")"),109)</f>
        <v>109</v>
      </c>
      <c r="K381" s="950">
        <f t="shared" ca="1" si="164"/>
        <v>136.25</v>
      </c>
      <c r="L381" s="1079"/>
      <c r="M381" s="1079"/>
      <c r="N381" s="1079"/>
      <c r="O381" s="1079"/>
      <c r="P381" s="1079"/>
    </row>
    <row r="382" spans="1:26" ht="18.75">
      <c r="A382" s="1322" t="s">
        <v>164</v>
      </c>
      <c r="B382" s="1094"/>
      <c r="C382" s="1087"/>
      <c r="D382" s="1094"/>
      <c r="E382" s="1093"/>
      <c r="F382" s="1094"/>
      <c r="G382" s="1095"/>
      <c r="H382" s="1097" t="s">
        <v>46</v>
      </c>
      <c r="I382" s="949">
        <v>0</v>
      </c>
      <c r="J382" s="949">
        <f ca="1">IFERROR(__xludf.DUMMYFUNCTION("IMPORTRANGE(""https://docs.google.com/spreadsheets/d/1XWAQStnk-4SwqDmLtmXYiTMKHgktTP8We1SCoS47DrQ/edit?usp=sharing"",""จัดที่ดิน!AM62"")"),1432.5)</f>
        <v>1432.5</v>
      </c>
      <c r="K382" s="950">
        <f t="shared" si="164"/>
        <v>0</v>
      </c>
      <c r="L382" s="1079"/>
      <c r="M382" s="1079"/>
      <c r="N382" s="1079"/>
      <c r="O382" s="1079"/>
      <c r="P382" s="1079"/>
    </row>
    <row r="383" spans="1:26" ht="19.5">
      <c r="A383" s="1161"/>
      <c r="B383" s="1169"/>
      <c r="C383" s="1162"/>
      <c r="D383" s="1307" t="s">
        <v>359</v>
      </c>
      <c r="E383" s="1162"/>
      <c r="F383" s="1162"/>
      <c r="G383" s="1164"/>
      <c r="H383" s="1308"/>
      <c r="I383" s="1166"/>
      <c r="J383" s="1166"/>
      <c r="K383" s="1167"/>
      <c r="L383" s="1167"/>
      <c r="M383" s="1167"/>
      <c r="N383" s="1167"/>
      <c r="O383" s="1167"/>
      <c r="P383" s="1167"/>
    </row>
    <row r="384" spans="1:26" ht="19.5">
      <c r="A384" s="1086"/>
      <c r="B384" s="1087"/>
      <c r="C384" s="945" t="s">
        <v>16</v>
      </c>
      <c r="D384" s="1088" t="s">
        <v>38</v>
      </c>
      <c r="E384" s="1089"/>
      <c r="F384" s="1089"/>
      <c r="G384" s="1090"/>
      <c r="H384" s="1091"/>
      <c r="I384" s="949"/>
      <c r="J384" s="949"/>
      <c r="K384" s="950"/>
      <c r="L384" s="1079"/>
      <c r="M384" s="1079"/>
      <c r="N384" s="1079"/>
      <c r="O384" s="1079"/>
      <c r="P384" s="1079"/>
    </row>
    <row r="385" spans="1:26" ht="18.75">
      <c r="A385" s="1239"/>
      <c r="B385" s="1242"/>
      <c r="C385" s="1240"/>
      <c r="D385" s="1242"/>
      <c r="E385" s="1347" t="s">
        <v>171</v>
      </c>
      <c r="F385" s="1242"/>
      <c r="G385" s="1243"/>
      <c r="H385" s="1348" t="s">
        <v>35</v>
      </c>
      <c r="I385" s="1244">
        <f ca="1">IFERROR(__xludf.DUMMYFUNCTION("IMPORTRANGE(""https://docs.google.com/spreadsheets/d/1QqKyyYR6Q21VydFLVH3TRQUabQu_ym0Zz7PgGX0-kHA/edit?usp=sharing"",""แผน!EW62"")"),15)</f>
        <v>15</v>
      </c>
      <c r="J385" s="1244">
        <f ca="1">IFERROR(__xludf.DUMMYFUNCTION("IMPORTRANGE(""https://docs.google.com/spreadsheets/d/1XWAQStnk-4SwqDmLtmXYiTMKHgktTP8We1SCoS47DrQ/edit?usp=sharing"",""จัดที่ดิน!AP62"")"),0)</f>
        <v>0</v>
      </c>
      <c r="K385" s="1349">
        <f ca="1">IF(I385&gt;0,J385*100/I385,0)</f>
        <v>0</v>
      </c>
      <c r="L385" s="1245"/>
      <c r="M385" s="1245"/>
      <c r="N385" s="1245"/>
      <c r="O385" s="1245"/>
      <c r="P385" s="1245"/>
    </row>
    <row r="386" spans="1:26" ht="19.5" hidden="1">
      <c r="A386" s="1350" t="s">
        <v>172</v>
      </c>
      <c r="B386" s="1351"/>
      <c r="C386" s="1351"/>
      <c r="D386" s="1351"/>
      <c r="E386" s="1352"/>
      <c r="F386" s="1352"/>
      <c r="G386" s="1353"/>
      <c r="H386" s="1354"/>
      <c r="I386" s="1355"/>
      <c r="J386" s="1355"/>
      <c r="K386" s="1356"/>
      <c r="L386" s="1356"/>
      <c r="M386" s="1356"/>
      <c r="N386" s="1356"/>
      <c r="O386" s="1356"/>
      <c r="P386" s="1356"/>
    </row>
    <row r="387" spans="1:26" ht="19.5" hidden="1">
      <c r="A387" s="1357" t="s">
        <v>173</v>
      </c>
      <c r="B387" s="1358"/>
      <c r="C387" s="1358"/>
      <c r="D387" s="1359"/>
      <c r="E387" s="1358"/>
      <c r="F387" s="1358"/>
      <c r="G387" s="1358"/>
      <c r="H387" s="1360"/>
      <c r="I387" s="1361"/>
      <c r="J387" s="1361"/>
      <c r="K387" s="1362"/>
      <c r="L387" s="1362"/>
      <c r="M387" s="1362"/>
      <c r="N387" s="1362"/>
      <c r="O387" s="1362"/>
      <c r="P387" s="1362"/>
    </row>
    <row r="388" spans="1:26" ht="19.5" hidden="1">
      <c r="A388" s="1363"/>
      <c r="B388" s="1364" t="s">
        <v>174</v>
      </c>
      <c r="C388" s="1365"/>
      <c r="D388" s="1366"/>
      <c r="E388" s="1366"/>
      <c r="F388" s="1366"/>
      <c r="G388" s="1367"/>
      <c r="H388" s="1368" t="s">
        <v>66</v>
      </c>
      <c r="I388" s="1369">
        <f t="shared" ref="I388:J388" si="165">I400</f>
        <v>0</v>
      </c>
      <c r="J388" s="1369">
        <f t="shared" si="165"/>
        <v>0</v>
      </c>
      <c r="K388" s="1370">
        <f>IF(I388&gt;0,J388*100/I388,0)</f>
        <v>0</v>
      </c>
      <c r="L388" s="1371"/>
      <c r="M388" s="1371"/>
      <c r="N388" s="1371"/>
      <c r="O388" s="1371"/>
      <c r="P388" s="1371"/>
    </row>
    <row r="389" spans="1:26" ht="19.5" hidden="1">
      <c r="A389" s="1063"/>
      <c r="B389" s="1064"/>
      <c r="C389" s="1065" t="s">
        <v>16</v>
      </c>
      <c r="D389" s="1066" t="s">
        <v>17</v>
      </c>
      <c r="E389" s="1064"/>
      <c r="F389" s="1064"/>
      <c r="G389" s="1067"/>
      <c r="H389" s="1068" t="s">
        <v>12</v>
      </c>
      <c r="I389" s="1069"/>
      <c r="J389" s="1069"/>
      <c r="K389" s="1070"/>
      <c r="L389" s="1071">
        <f t="shared" ref="L389:N389" ca="1" si="166">L390+L391</f>
        <v>0</v>
      </c>
      <c r="M389" s="1071">
        <f t="shared" ca="1" si="166"/>
        <v>0</v>
      </c>
      <c r="N389" s="1071">
        <f t="shared" ca="1" si="166"/>
        <v>0</v>
      </c>
      <c r="O389" s="1071">
        <f t="shared" ref="O389:O397" ca="1" si="167">IF(L389&gt;0,N389*100/L389,0)</f>
        <v>0</v>
      </c>
      <c r="P389" s="1071">
        <f t="shared" ref="P389:P397" ca="1" si="168">IF(M389&gt;0,N389*100/M389,0)</f>
        <v>0</v>
      </c>
      <c r="Q389" s="935"/>
      <c r="R389" s="935"/>
      <c r="S389" s="935"/>
      <c r="T389" s="935"/>
      <c r="U389" s="935"/>
      <c r="V389" s="935"/>
      <c r="W389" s="935"/>
      <c r="X389" s="935"/>
      <c r="Y389" s="935"/>
      <c r="Z389" s="935"/>
    </row>
    <row r="390" spans="1:26" ht="18.75" hidden="1">
      <c r="A390" s="1072"/>
      <c r="B390" s="952"/>
      <c r="C390" s="952"/>
      <c r="D390" s="952"/>
      <c r="E390" s="953" t="s">
        <v>18</v>
      </c>
      <c r="F390" s="952"/>
      <c r="G390" s="1073"/>
      <c r="H390" s="1074" t="s">
        <v>12</v>
      </c>
      <c r="I390" s="956"/>
      <c r="J390" s="956"/>
      <c r="K390" s="957"/>
      <c r="L390" s="957">
        <f t="shared" ref="L390:N391" si="169">L393+L396</f>
        <v>0</v>
      </c>
      <c r="M390" s="957">
        <f t="shared" si="169"/>
        <v>0</v>
      </c>
      <c r="N390" s="957">
        <f t="shared" si="169"/>
        <v>0</v>
      </c>
      <c r="O390" s="957">
        <f t="shared" si="167"/>
        <v>0</v>
      </c>
      <c r="P390" s="957">
        <f t="shared" si="168"/>
        <v>0</v>
      </c>
      <c r="Q390" s="943"/>
      <c r="R390" s="943"/>
      <c r="S390" s="943"/>
      <c r="T390" s="943"/>
      <c r="U390" s="943"/>
      <c r="V390" s="943"/>
      <c r="W390" s="943"/>
      <c r="X390" s="943"/>
      <c r="Y390" s="943"/>
      <c r="Z390" s="943"/>
    </row>
    <row r="391" spans="1:26" ht="18.75" hidden="1">
      <c r="A391" s="1072"/>
      <c r="B391" s="952"/>
      <c r="C391" s="952"/>
      <c r="D391" s="952"/>
      <c r="E391" s="953" t="s">
        <v>19</v>
      </c>
      <c r="F391" s="952"/>
      <c r="G391" s="1073"/>
      <c r="H391" s="1074" t="s">
        <v>12</v>
      </c>
      <c r="I391" s="956"/>
      <c r="J391" s="956"/>
      <c r="K391" s="957"/>
      <c r="L391" s="957">
        <f t="shared" ca="1" si="169"/>
        <v>0</v>
      </c>
      <c r="M391" s="957">
        <f t="shared" ca="1" si="169"/>
        <v>0</v>
      </c>
      <c r="N391" s="957">
        <f t="shared" ca="1" si="169"/>
        <v>0</v>
      </c>
      <c r="O391" s="957">
        <f t="shared" ca="1" si="167"/>
        <v>0</v>
      </c>
      <c r="P391" s="957">
        <f t="shared" ca="1" si="168"/>
        <v>0</v>
      </c>
      <c r="Q391" s="943"/>
      <c r="R391" s="943"/>
      <c r="S391" s="943"/>
      <c r="T391" s="943"/>
      <c r="U391" s="943"/>
      <c r="V391" s="943"/>
      <c r="W391" s="943"/>
      <c r="X391" s="943"/>
      <c r="Y391" s="943"/>
      <c r="Z391" s="943"/>
    </row>
    <row r="392" spans="1:26" ht="18.75" hidden="1">
      <c r="A392" s="1075"/>
      <c r="B392" s="945"/>
      <c r="C392" s="1076"/>
      <c r="D392" s="946" t="s">
        <v>20</v>
      </c>
      <c r="E392" s="945"/>
      <c r="F392" s="945"/>
      <c r="G392" s="947"/>
      <c r="H392" s="1077" t="s">
        <v>12</v>
      </c>
      <c r="I392" s="1078"/>
      <c r="J392" s="1078"/>
      <c r="K392" s="1079"/>
      <c r="L392" s="950">
        <f t="shared" ref="L392:N392" ca="1" si="170">L393+L394</f>
        <v>0</v>
      </c>
      <c r="M392" s="950">
        <f t="shared" ca="1" si="170"/>
        <v>0</v>
      </c>
      <c r="N392" s="950">
        <f t="shared" ca="1" si="170"/>
        <v>0</v>
      </c>
      <c r="O392" s="950">
        <f t="shared" ca="1" si="167"/>
        <v>0</v>
      </c>
      <c r="P392" s="950">
        <f t="shared" ca="1" si="168"/>
        <v>0</v>
      </c>
      <c r="Q392" s="935"/>
      <c r="R392" s="935"/>
      <c r="S392" s="935"/>
      <c r="T392" s="935"/>
      <c r="U392" s="935"/>
      <c r="V392" s="935"/>
      <c r="W392" s="935"/>
      <c r="X392" s="935"/>
      <c r="Y392" s="935"/>
      <c r="Z392" s="935"/>
    </row>
    <row r="393" spans="1:26" ht="19.5" hidden="1">
      <c r="A393" s="1072"/>
      <c r="B393" s="952"/>
      <c r="C393" s="1080"/>
      <c r="D393" s="952"/>
      <c r="E393" s="953" t="s">
        <v>36</v>
      </c>
      <c r="F393" s="952"/>
      <c r="G393" s="1073"/>
      <c r="H393" s="1081" t="s">
        <v>12</v>
      </c>
      <c r="I393" s="1082"/>
      <c r="J393" s="1082"/>
      <c r="K393" s="1083"/>
      <c r="L393" s="957">
        <v>0</v>
      </c>
      <c r="M393" s="957">
        <v>0</v>
      </c>
      <c r="N393" s="957">
        <v>0</v>
      </c>
      <c r="O393" s="957">
        <f t="shared" si="167"/>
        <v>0</v>
      </c>
      <c r="P393" s="957">
        <f t="shared" si="168"/>
        <v>0</v>
      </c>
      <c r="Q393" s="943"/>
      <c r="R393" s="943"/>
      <c r="S393" s="943"/>
      <c r="T393" s="943"/>
      <c r="U393" s="943"/>
      <c r="V393" s="943"/>
      <c r="W393" s="943"/>
      <c r="X393" s="943"/>
      <c r="Y393" s="943"/>
      <c r="Z393" s="943"/>
    </row>
    <row r="394" spans="1:26" ht="19.5" hidden="1">
      <c r="A394" s="1072"/>
      <c r="B394" s="952"/>
      <c r="C394" s="1080"/>
      <c r="D394" s="952"/>
      <c r="E394" s="953" t="s">
        <v>37</v>
      </c>
      <c r="F394" s="952"/>
      <c r="G394" s="1073"/>
      <c r="H394" s="1081" t="s">
        <v>12</v>
      </c>
      <c r="I394" s="1082"/>
      <c r="J394" s="1082"/>
      <c r="K394" s="1083"/>
      <c r="L394" s="957">
        <f ca="1">IFERROR(__xludf.DUMMYFUNCTION("IMPORTRANGE(""https://docs.google.com/spreadsheets/d/1MeEWN-I1oV_STSDYn1IFDPWt_1FKiwhDph83XaGc0o0/edit?usp=sharing"",""งบพรบ!FG62"")"),0)</f>
        <v>0</v>
      </c>
      <c r="M394" s="957">
        <f ca="1">IFERROR(__xludf.DUMMYFUNCTION("IMPORTRANGE(""https://docs.google.com/spreadsheets/d/1MeEWN-I1oV_STSDYn1IFDPWt_1FKiwhDph83XaGc0o0/edit?usp=sharing"",""งบพรบ!FL62"")"),0)</f>
        <v>0</v>
      </c>
      <c r="N394" s="957">
        <f ca="1">IFERROR(__xludf.DUMMYFUNCTION("IMPORTRANGE(""https://docs.google.com/spreadsheets/d/1MeEWN-I1oV_STSDYn1IFDPWt_1FKiwhDph83XaGc0o0/edit?usp=sharing"",""งบพรบ!FN62"")"),0)</f>
        <v>0</v>
      </c>
      <c r="O394" s="957">
        <f t="shared" ca="1" si="167"/>
        <v>0</v>
      </c>
      <c r="P394" s="957">
        <f t="shared" ca="1" si="168"/>
        <v>0</v>
      </c>
      <c r="Q394" s="943"/>
      <c r="R394" s="943"/>
      <c r="S394" s="943"/>
      <c r="T394" s="943"/>
      <c r="U394" s="943"/>
      <c r="V394" s="943"/>
      <c r="W394" s="943"/>
      <c r="X394" s="943"/>
      <c r="Y394" s="943"/>
      <c r="Z394" s="943"/>
    </row>
    <row r="395" spans="1:26" ht="18.75" hidden="1">
      <c r="A395" s="1075"/>
      <c r="B395" s="945"/>
      <c r="C395" s="1076"/>
      <c r="D395" s="946" t="s">
        <v>21</v>
      </c>
      <c r="E395" s="945"/>
      <c r="F395" s="945"/>
      <c r="G395" s="947"/>
      <c r="H395" s="1084" t="s">
        <v>12</v>
      </c>
      <c r="I395" s="1078"/>
      <c r="J395" s="1078"/>
      <c r="K395" s="1079"/>
      <c r="L395" s="950">
        <f t="shared" ref="L395:N395" ca="1" si="171">L396+L397</f>
        <v>0</v>
      </c>
      <c r="M395" s="950">
        <f t="shared" ca="1" si="171"/>
        <v>0</v>
      </c>
      <c r="N395" s="950">
        <f t="shared" ca="1" si="171"/>
        <v>0</v>
      </c>
      <c r="O395" s="950">
        <f t="shared" ca="1" si="167"/>
        <v>0</v>
      </c>
      <c r="P395" s="950">
        <f t="shared" ca="1" si="168"/>
        <v>0</v>
      </c>
      <c r="Q395" s="935"/>
      <c r="R395" s="935"/>
      <c r="S395" s="935"/>
      <c r="T395" s="935"/>
      <c r="U395" s="935"/>
      <c r="V395" s="935"/>
      <c r="W395" s="935"/>
      <c r="X395" s="935"/>
      <c r="Y395" s="935"/>
      <c r="Z395" s="935"/>
    </row>
    <row r="396" spans="1:26" ht="19.5" hidden="1">
      <c r="A396" s="1072"/>
      <c r="B396" s="952"/>
      <c r="C396" s="1080"/>
      <c r="D396" s="952"/>
      <c r="E396" s="953" t="s">
        <v>18</v>
      </c>
      <c r="F396" s="952"/>
      <c r="G396" s="1073"/>
      <c r="H396" s="1081" t="s">
        <v>12</v>
      </c>
      <c r="I396" s="1082"/>
      <c r="J396" s="1082"/>
      <c r="K396" s="1083"/>
      <c r="L396" s="957">
        <v>0</v>
      </c>
      <c r="M396" s="957">
        <v>0</v>
      </c>
      <c r="N396" s="957">
        <v>0</v>
      </c>
      <c r="O396" s="957">
        <f t="shared" si="167"/>
        <v>0</v>
      </c>
      <c r="P396" s="957">
        <f t="shared" si="168"/>
        <v>0</v>
      </c>
      <c r="Q396" s="943"/>
      <c r="R396" s="943"/>
      <c r="S396" s="943"/>
      <c r="T396" s="943"/>
      <c r="U396" s="943"/>
      <c r="V396" s="943"/>
      <c r="W396" s="943"/>
      <c r="X396" s="943"/>
      <c r="Y396" s="943"/>
      <c r="Z396" s="943"/>
    </row>
    <row r="397" spans="1:26" ht="19.5" hidden="1">
      <c r="A397" s="1072"/>
      <c r="B397" s="952"/>
      <c r="C397" s="1080"/>
      <c r="D397" s="952"/>
      <c r="E397" s="953" t="s">
        <v>19</v>
      </c>
      <c r="F397" s="952"/>
      <c r="G397" s="1073"/>
      <c r="H397" s="1085" t="s">
        <v>12</v>
      </c>
      <c r="I397" s="1082"/>
      <c r="J397" s="1082"/>
      <c r="K397" s="1083"/>
      <c r="L397" s="957">
        <f ca="1">IFERROR(__xludf.DUMMYFUNCTION("IMPORTRANGE(""https://docs.google.com/spreadsheets/d/1MeEWN-I1oV_STSDYn1IFDPWt_1FKiwhDph83XaGc0o0/edit?usp=sharing"",""งบพรบ!FJ62"")"),0)</f>
        <v>0</v>
      </c>
      <c r="M397" s="957">
        <f ca="1">IFERROR(__xludf.DUMMYFUNCTION("IMPORTRANGE(""https://docs.google.com/spreadsheets/d/1MeEWN-I1oV_STSDYn1IFDPWt_1FKiwhDph83XaGc0o0/edit?usp=sharing"",""งบพรบ!FM62"")"),0)</f>
        <v>0</v>
      </c>
      <c r="N397" s="957">
        <f ca="1">IFERROR(__xludf.DUMMYFUNCTION("IMPORTRANGE(""https://docs.google.com/spreadsheets/d/1MeEWN-I1oV_STSDYn1IFDPWt_1FKiwhDph83XaGc0o0/edit?usp=sharing"",""งบพรบ!FO62"")"),0)</f>
        <v>0</v>
      </c>
      <c r="O397" s="957">
        <f t="shared" ca="1" si="167"/>
        <v>0</v>
      </c>
      <c r="P397" s="957">
        <f t="shared" ca="1" si="168"/>
        <v>0</v>
      </c>
      <c r="Q397" s="943"/>
      <c r="R397" s="943"/>
      <c r="S397" s="943"/>
      <c r="T397" s="943"/>
      <c r="U397" s="943"/>
      <c r="V397" s="943"/>
      <c r="W397" s="943"/>
      <c r="X397" s="943"/>
      <c r="Y397" s="943"/>
      <c r="Z397" s="943"/>
    </row>
    <row r="398" spans="1:26" ht="19.5" hidden="1">
      <c r="A398" s="1086"/>
      <c r="B398" s="1087"/>
      <c r="C398" s="1080" t="s">
        <v>16</v>
      </c>
      <c r="D398" s="1088" t="s">
        <v>38</v>
      </c>
      <c r="E398" s="1089"/>
      <c r="F398" s="1089"/>
      <c r="G398" s="1090"/>
      <c r="H398" s="1091"/>
      <c r="I398" s="1078"/>
      <c r="J398" s="949"/>
      <c r="K398" s="950"/>
      <c r="L398" s="950"/>
      <c r="M398" s="950"/>
      <c r="N398" s="950"/>
      <c r="O398" s="1079"/>
      <c r="P398" s="1079"/>
    </row>
    <row r="399" spans="1:26" ht="18.75" hidden="1">
      <c r="A399" s="1372"/>
      <c r="B399" s="1064"/>
      <c r="C399" s="1373"/>
      <c r="D399" s="1110" t="s">
        <v>175</v>
      </c>
      <c r="E399" s="1273"/>
      <c r="F399" s="1064"/>
      <c r="G399" s="1067"/>
      <c r="H399" s="1374" t="s">
        <v>9</v>
      </c>
      <c r="I399" s="949">
        <v>0</v>
      </c>
      <c r="J399" s="1098">
        <v>0</v>
      </c>
      <c r="K399" s="950">
        <f t="shared" ref="K399:K401" si="172">IF(I399&gt;0,J399*100/I399,0)</f>
        <v>0</v>
      </c>
      <c r="L399" s="1375"/>
      <c r="M399" s="1375"/>
      <c r="N399" s="1375"/>
      <c r="O399" s="1375"/>
      <c r="P399" s="1375"/>
      <c r="Q399" s="935"/>
      <c r="R399" s="935"/>
      <c r="S399" s="935"/>
      <c r="T399" s="935"/>
      <c r="U399" s="935"/>
      <c r="V399" s="935"/>
      <c r="W399" s="935"/>
      <c r="X399" s="935"/>
      <c r="Y399" s="935"/>
      <c r="Z399" s="935"/>
    </row>
    <row r="400" spans="1:26" ht="18.75" hidden="1">
      <c r="A400" s="1187"/>
      <c r="B400" s="945"/>
      <c r="C400" s="1185"/>
      <c r="D400" s="1093" t="s">
        <v>176</v>
      </c>
      <c r="E400" s="1087"/>
      <c r="F400" s="945"/>
      <c r="G400" s="947"/>
      <c r="H400" s="1181" t="s">
        <v>66</v>
      </c>
      <c r="I400" s="949">
        <v>0</v>
      </c>
      <c r="J400" s="1098">
        <v>0</v>
      </c>
      <c r="K400" s="950">
        <f t="shared" si="172"/>
        <v>0</v>
      </c>
      <c r="L400" s="950"/>
      <c r="M400" s="950"/>
      <c r="N400" s="950"/>
      <c r="O400" s="950"/>
      <c r="P400" s="950"/>
    </row>
    <row r="401" spans="1:26" ht="19.5" hidden="1">
      <c r="A401" s="1363"/>
      <c r="B401" s="1364" t="s">
        <v>177</v>
      </c>
      <c r="C401" s="1365"/>
      <c r="D401" s="1366"/>
      <c r="E401" s="1366"/>
      <c r="F401" s="1366"/>
      <c r="G401" s="1367"/>
      <c r="H401" s="1368" t="s">
        <v>66</v>
      </c>
      <c r="I401" s="1369">
        <f t="shared" ref="I401:J401" si="173">I412</f>
        <v>0</v>
      </c>
      <c r="J401" s="1369">
        <f t="shared" si="173"/>
        <v>0</v>
      </c>
      <c r="K401" s="1370">
        <f t="shared" si="172"/>
        <v>0</v>
      </c>
      <c r="L401" s="1371"/>
      <c r="M401" s="1371"/>
      <c r="N401" s="1371"/>
      <c r="O401" s="1371"/>
      <c r="P401" s="1371"/>
    </row>
    <row r="402" spans="1:26" ht="19.5" hidden="1">
      <c r="A402" s="1063"/>
      <c r="B402" s="1064"/>
      <c r="C402" s="1065" t="s">
        <v>16</v>
      </c>
      <c r="D402" s="1066" t="s">
        <v>17</v>
      </c>
      <c r="E402" s="1064"/>
      <c r="F402" s="1064"/>
      <c r="G402" s="1067"/>
      <c r="H402" s="1068" t="s">
        <v>12</v>
      </c>
      <c r="I402" s="1069"/>
      <c r="J402" s="1069"/>
      <c r="K402" s="1070"/>
      <c r="L402" s="1071">
        <f t="shared" ref="L402:N402" ca="1" si="174">L403+L404</f>
        <v>0</v>
      </c>
      <c r="M402" s="1071">
        <f t="shared" ca="1" si="174"/>
        <v>0</v>
      </c>
      <c r="N402" s="1071">
        <f t="shared" ca="1" si="174"/>
        <v>0</v>
      </c>
      <c r="O402" s="1071">
        <f t="shared" ref="O402:O410" ca="1" si="175">IF(L402&gt;0,N402*100/L402,0)</f>
        <v>0</v>
      </c>
      <c r="P402" s="1071">
        <f t="shared" ref="P402:P410" ca="1" si="176">IF(M402&gt;0,N402*100/M402,0)</f>
        <v>0</v>
      </c>
      <c r="Q402" s="935"/>
      <c r="R402" s="935"/>
      <c r="S402" s="935"/>
      <c r="T402" s="935"/>
      <c r="U402" s="935"/>
      <c r="V402" s="935"/>
      <c r="W402" s="935"/>
      <c r="X402" s="935"/>
      <c r="Y402" s="935"/>
      <c r="Z402" s="935"/>
    </row>
    <row r="403" spans="1:26" ht="18.75" hidden="1">
      <c r="A403" s="1072"/>
      <c r="B403" s="952"/>
      <c r="C403" s="952"/>
      <c r="D403" s="952"/>
      <c r="E403" s="953" t="s">
        <v>18</v>
      </c>
      <c r="F403" s="952"/>
      <c r="G403" s="1073"/>
      <c r="H403" s="1074" t="s">
        <v>12</v>
      </c>
      <c r="I403" s="956"/>
      <c r="J403" s="956"/>
      <c r="K403" s="957"/>
      <c r="L403" s="957">
        <f t="shared" ref="L403:N404" si="177">L406+L409</f>
        <v>0</v>
      </c>
      <c r="M403" s="957">
        <f t="shared" si="177"/>
        <v>0</v>
      </c>
      <c r="N403" s="957">
        <f t="shared" si="177"/>
        <v>0</v>
      </c>
      <c r="O403" s="957">
        <f t="shared" si="175"/>
        <v>0</v>
      </c>
      <c r="P403" s="957">
        <f t="shared" si="176"/>
        <v>0</v>
      </c>
      <c r="Q403" s="943"/>
      <c r="R403" s="943"/>
      <c r="S403" s="943"/>
      <c r="T403" s="943"/>
      <c r="U403" s="943"/>
      <c r="V403" s="943"/>
      <c r="W403" s="943"/>
      <c r="X403" s="943"/>
      <c r="Y403" s="943"/>
      <c r="Z403" s="943"/>
    </row>
    <row r="404" spans="1:26" ht="18.75" hidden="1">
      <c r="A404" s="1072"/>
      <c r="B404" s="952"/>
      <c r="C404" s="952"/>
      <c r="D404" s="952"/>
      <c r="E404" s="953" t="s">
        <v>19</v>
      </c>
      <c r="F404" s="952"/>
      <c r="G404" s="1073"/>
      <c r="H404" s="1074" t="s">
        <v>12</v>
      </c>
      <c r="I404" s="956"/>
      <c r="J404" s="956"/>
      <c r="K404" s="957"/>
      <c r="L404" s="957">
        <f t="shared" ca="1" si="177"/>
        <v>0</v>
      </c>
      <c r="M404" s="957">
        <f t="shared" ca="1" si="177"/>
        <v>0</v>
      </c>
      <c r="N404" s="957">
        <f t="shared" ca="1" si="177"/>
        <v>0</v>
      </c>
      <c r="O404" s="957">
        <f t="shared" ca="1" si="175"/>
        <v>0</v>
      </c>
      <c r="P404" s="957">
        <f t="shared" ca="1" si="176"/>
        <v>0</v>
      </c>
      <c r="Q404" s="943"/>
      <c r="R404" s="943"/>
      <c r="S404" s="943"/>
      <c r="T404" s="943"/>
      <c r="U404" s="943"/>
      <c r="V404" s="943"/>
      <c r="W404" s="943"/>
      <c r="X404" s="943"/>
      <c r="Y404" s="943"/>
      <c r="Z404" s="943"/>
    </row>
    <row r="405" spans="1:26" ht="18.75" hidden="1">
      <c r="A405" s="1075"/>
      <c r="B405" s="945"/>
      <c r="C405" s="1076"/>
      <c r="D405" s="946" t="s">
        <v>20</v>
      </c>
      <c r="E405" s="945"/>
      <c r="F405" s="945"/>
      <c r="G405" s="947"/>
      <c r="H405" s="1077" t="s">
        <v>12</v>
      </c>
      <c r="I405" s="1078"/>
      <c r="J405" s="1078"/>
      <c r="K405" s="1079"/>
      <c r="L405" s="950">
        <f t="shared" ref="L405:N405" ca="1" si="178">L406+L407</f>
        <v>0</v>
      </c>
      <c r="M405" s="950">
        <f t="shared" ca="1" si="178"/>
        <v>0</v>
      </c>
      <c r="N405" s="950">
        <f t="shared" ca="1" si="178"/>
        <v>0</v>
      </c>
      <c r="O405" s="950">
        <f t="shared" ca="1" si="175"/>
        <v>0</v>
      </c>
      <c r="P405" s="950">
        <f t="shared" ca="1" si="176"/>
        <v>0</v>
      </c>
      <c r="Q405" s="935"/>
      <c r="R405" s="935"/>
      <c r="S405" s="935"/>
      <c r="T405" s="935"/>
      <c r="U405" s="935"/>
      <c r="V405" s="935"/>
      <c r="W405" s="935"/>
      <c r="X405" s="935"/>
      <c r="Y405" s="935"/>
      <c r="Z405" s="935"/>
    </row>
    <row r="406" spans="1:26" ht="19.5" hidden="1">
      <c r="A406" s="1072"/>
      <c r="B406" s="952"/>
      <c r="C406" s="1080"/>
      <c r="D406" s="952"/>
      <c r="E406" s="953" t="s">
        <v>36</v>
      </c>
      <c r="F406" s="952"/>
      <c r="G406" s="1073"/>
      <c r="H406" s="1081" t="s">
        <v>12</v>
      </c>
      <c r="I406" s="1082"/>
      <c r="J406" s="1082"/>
      <c r="K406" s="1083"/>
      <c r="L406" s="957">
        <v>0</v>
      </c>
      <c r="M406" s="957">
        <v>0</v>
      </c>
      <c r="N406" s="957">
        <v>0</v>
      </c>
      <c r="O406" s="957">
        <f t="shared" si="175"/>
        <v>0</v>
      </c>
      <c r="P406" s="957">
        <f t="shared" si="176"/>
        <v>0</v>
      </c>
      <c r="Q406" s="943"/>
      <c r="R406" s="943"/>
      <c r="S406" s="943"/>
      <c r="T406" s="943"/>
      <c r="U406" s="943"/>
      <c r="V406" s="943"/>
      <c r="W406" s="943"/>
      <c r="X406" s="943"/>
      <c r="Y406" s="943"/>
      <c r="Z406" s="943"/>
    </row>
    <row r="407" spans="1:26" ht="19.5" hidden="1">
      <c r="A407" s="1072"/>
      <c r="B407" s="952"/>
      <c r="C407" s="1080"/>
      <c r="D407" s="952"/>
      <c r="E407" s="953" t="s">
        <v>37</v>
      </c>
      <c r="F407" s="952"/>
      <c r="G407" s="1073"/>
      <c r="H407" s="1081" t="s">
        <v>12</v>
      </c>
      <c r="I407" s="1082"/>
      <c r="J407" s="1082"/>
      <c r="K407" s="1083"/>
      <c r="L407" s="957">
        <f ca="1">IFERROR(__xludf.DUMMYFUNCTION("IMPORTRANGE(""https://docs.google.com/spreadsheets/d/1MeEWN-I1oV_STSDYn1IFDPWt_1FKiwhDph83XaGc0o0/edit?usp=sharing"",""งบพรบ!FQ62"")"),0)</f>
        <v>0</v>
      </c>
      <c r="M407" s="957">
        <f ca="1">IFERROR(__xludf.DUMMYFUNCTION("IMPORTRANGE(""https://docs.google.com/spreadsheets/d/1MeEWN-I1oV_STSDYn1IFDPWt_1FKiwhDph83XaGc0o0/edit?usp=sharing"",""งบพรบ!FV62"")"),0)</f>
        <v>0</v>
      </c>
      <c r="N407" s="957">
        <f ca="1">IFERROR(__xludf.DUMMYFUNCTION("IMPORTRANGE(""https://docs.google.com/spreadsheets/d/1MeEWN-I1oV_STSDYn1IFDPWt_1FKiwhDph83XaGc0o0/edit?usp=sharing"",""งบพรบ!FX62"")"),0)</f>
        <v>0</v>
      </c>
      <c r="O407" s="957">
        <f t="shared" ca="1" si="175"/>
        <v>0</v>
      </c>
      <c r="P407" s="957">
        <f t="shared" ca="1" si="176"/>
        <v>0</v>
      </c>
      <c r="Q407" s="943"/>
      <c r="R407" s="943"/>
      <c r="S407" s="943"/>
      <c r="T407" s="943"/>
      <c r="U407" s="943"/>
      <c r="V407" s="943"/>
      <c r="W407" s="943"/>
      <c r="X407" s="943"/>
      <c r="Y407" s="943"/>
      <c r="Z407" s="943"/>
    </row>
    <row r="408" spans="1:26" ht="18.75" hidden="1">
      <c r="A408" s="1075"/>
      <c r="B408" s="945"/>
      <c r="C408" s="1076"/>
      <c r="D408" s="946" t="s">
        <v>21</v>
      </c>
      <c r="E408" s="945"/>
      <c r="F408" s="945"/>
      <c r="G408" s="947"/>
      <c r="H408" s="1084" t="s">
        <v>12</v>
      </c>
      <c r="I408" s="1078"/>
      <c r="J408" s="1078"/>
      <c r="K408" s="1079"/>
      <c r="L408" s="950">
        <f t="shared" ref="L408:N408" ca="1" si="179">L409+L410</f>
        <v>0</v>
      </c>
      <c r="M408" s="950">
        <f t="shared" ca="1" si="179"/>
        <v>0</v>
      </c>
      <c r="N408" s="950">
        <f t="shared" ca="1" si="179"/>
        <v>0</v>
      </c>
      <c r="O408" s="950">
        <f t="shared" ca="1" si="175"/>
        <v>0</v>
      </c>
      <c r="P408" s="950">
        <f t="shared" ca="1" si="176"/>
        <v>0</v>
      </c>
      <c r="Q408" s="935"/>
      <c r="R408" s="935"/>
      <c r="S408" s="935"/>
      <c r="T408" s="935"/>
      <c r="U408" s="935"/>
      <c r="V408" s="935"/>
      <c r="W408" s="935"/>
      <c r="X408" s="935"/>
      <c r="Y408" s="935"/>
      <c r="Z408" s="935"/>
    </row>
    <row r="409" spans="1:26" ht="19.5" hidden="1">
      <c r="A409" s="1072"/>
      <c r="B409" s="952"/>
      <c r="C409" s="1080"/>
      <c r="D409" s="952"/>
      <c r="E409" s="953" t="s">
        <v>18</v>
      </c>
      <c r="F409" s="952"/>
      <c r="G409" s="1073"/>
      <c r="H409" s="1081" t="s">
        <v>12</v>
      </c>
      <c r="I409" s="1082"/>
      <c r="J409" s="1082"/>
      <c r="K409" s="1083"/>
      <c r="L409" s="957">
        <v>0</v>
      </c>
      <c r="M409" s="957">
        <v>0</v>
      </c>
      <c r="N409" s="957">
        <v>0</v>
      </c>
      <c r="O409" s="957">
        <f t="shared" si="175"/>
        <v>0</v>
      </c>
      <c r="P409" s="957">
        <f t="shared" si="176"/>
        <v>0</v>
      </c>
      <c r="Q409" s="943"/>
      <c r="R409" s="943"/>
      <c r="S409" s="943"/>
      <c r="T409" s="943"/>
      <c r="U409" s="943"/>
      <c r="V409" s="943"/>
      <c r="W409" s="943"/>
      <c r="X409" s="943"/>
      <c r="Y409" s="943"/>
      <c r="Z409" s="943"/>
    </row>
    <row r="410" spans="1:26" ht="19.5" hidden="1">
      <c r="A410" s="1072"/>
      <c r="B410" s="952"/>
      <c r="C410" s="1080"/>
      <c r="D410" s="952"/>
      <c r="E410" s="953" t="s">
        <v>19</v>
      </c>
      <c r="F410" s="952"/>
      <c r="G410" s="1073"/>
      <c r="H410" s="1085" t="s">
        <v>12</v>
      </c>
      <c r="I410" s="1082"/>
      <c r="J410" s="1082"/>
      <c r="K410" s="1083"/>
      <c r="L410" s="957">
        <f ca="1">IFERROR(__xludf.DUMMYFUNCTION("IMPORTRANGE(""https://docs.google.com/spreadsheets/d/1MeEWN-I1oV_STSDYn1IFDPWt_1FKiwhDph83XaGc0o0/edit?usp=sharing"",""งบพรบ!FT62"")"),0)</f>
        <v>0</v>
      </c>
      <c r="M410" s="957">
        <f ca="1">IFERROR(__xludf.DUMMYFUNCTION("IMPORTRANGE(""https://docs.google.com/spreadsheets/d/1MeEWN-I1oV_STSDYn1IFDPWt_1FKiwhDph83XaGc0o0/edit?usp=sharing"",""งบพรบ!FW62"")"),0)</f>
        <v>0</v>
      </c>
      <c r="N410" s="957">
        <f ca="1">IFERROR(__xludf.DUMMYFUNCTION("IMPORTRANGE(""https://docs.google.com/spreadsheets/d/1MeEWN-I1oV_STSDYn1IFDPWt_1FKiwhDph83XaGc0o0/edit?usp=sharing"",""งบพรบ!FY62"")"),0)</f>
        <v>0</v>
      </c>
      <c r="O410" s="957">
        <f t="shared" ca="1" si="175"/>
        <v>0</v>
      </c>
      <c r="P410" s="957">
        <f t="shared" ca="1" si="176"/>
        <v>0</v>
      </c>
      <c r="Q410" s="943"/>
      <c r="R410" s="943"/>
      <c r="S410" s="943"/>
      <c r="T410" s="943"/>
      <c r="U410" s="943"/>
      <c r="V410" s="943"/>
      <c r="W410" s="943"/>
      <c r="X410" s="943"/>
      <c r="Y410" s="943"/>
      <c r="Z410" s="943"/>
    </row>
    <row r="411" spans="1:26" ht="19.5" hidden="1">
      <c r="A411" s="1086"/>
      <c r="B411" s="1087"/>
      <c r="C411" s="1080" t="s">
        <v>16</v>
      </c>
      <c r="D411" s="1376" t="s">
        <v>38</v>
      </c>
      <c r="E411" s="1377"/>
      <c r="F411" s="1377"/>
      <c r="G411" s="1378"/>
      <c r="H411" s="1091"/>
      <c r="I411" s="949"/>
      <c r="J411" s="949"/>
      <c r="K411" s="950"/>
      <c r="L411" s="1079"/>
      <c r="M411" s="1079"/>
      <c r="N411" s="1079"/>
      <c r="O411" s="1079"/>
      <c r="P411" s="1079"/>
    </row>
    <row r="412" spans="1:26" ht="18.75" hidden="1">
      <c r="A412" s="1086"/>
      <c r="B412" s="1094"/>
      <c r="C412" s="1094"/>
      <c r="D412" s="1093" t="s">
        <v>178</v>
      </c>
      <c r="E412" s="1094"/>
      <c r="F412" s="1094"/>
      <c r="G412" s="1095"/>
      <c r="H412" s="1379" t="s">
        <v>66</v>
      </c>
      <c r="I412" s="949">
        <v>0</v>
      </c>
      <c r="J412" s="1098">
        <v>0</v>
      </c>
      <c r="K412" s="950">
        <f t="shared" ref="K412:K413" si="180">IF(I412&gt;0,J412*100/I412,0)</f>
        <v>0</v>
      </c>
      <c r="L412" s="1079"/>
      <c r="M412" s="1079"/>
      <c r="N412" s="1079"/>
      <c r="O412" s="1079"/>
      <c r="P412" s="1079"/>
    </row>
    <row r="413" spans="1:26" ht="19.5" hidden="1" thickBot="1">
      <c r="A413" s="1380"/>
      <c r="B413" s="1381"/>
      <c r="C413" s="1381"/>
      <c r="D413" s="1382" t="s">
        <v>179</v>
      </c>
      <c r="E413" s="1381"/>
      <c r="F413" s="1381"/>
      <c r="G413" s="1383"/>
      <c r="H413" s="1384" t="s">
        <v>180</v>
      </c>
      <c r="I413" s="1385">
        <v>0</v>
      </c>
      <c r="J413" s="1386">
        <v>0</v>
      </c>
      <c r="K413" s="1387">
        <f t="shared" si="180"/>
        <v>0</v>
      </c>
      <c r="L413" s="1388"/>
      <c r="M413" s="1388"/>
      <c r="N413" s="1388"/>
      <c r="O413" s="1388"/>
      <c r="P413" s="1388"/>
    </row>
    <row r="414" spans="1:26" ht="19.5">
      <c r="A414" s="1389" t="s">
        <v>181</v>
      </c>
      <c r="B414" s="1390"/>
      <c r="C414" s="1390"/>
      <c r="D414" s="1390"/>
      <c r="E414" s="1390"/>
      <c r="F414" s="1390"/>
      <c r="G414" s="1391"/>
      <c r="H414" s="1392"/>
      <c r="I414" s="1393"/>
      <c r="J414" s="1393"/>
      <c r="K414" s="1394"/>
      <c r="L414" s="1395">
        <f t="shared" ref="L414:N414" ca="1" si="181">L419+L444+L467+L502+L523+L544+L629+L655+L685+L737+L754+L770+L786+L805</f>
        <v>1122465</v>
      </c>
      <c r="M414" s="1395">
        <f t="shared" ca="1" si="181"/>
        <v>1122465</v>
      </c>
      <c r="N414" s="1395">
        <f t="shared" si="181"/>
        <v>400471.06</v>
      </c>
      <c r="O414" s="1395">
        <f ca="1">IF(L414&gt;0,N414*100/L414,0)</f>
        <v>35.677821580182901</v>
      </c>
      <c r="P414" s="1395">
        <f ca="1">IF(M414&gt;0,N414*100/M414,0)</f>
        <v>35.677821580182901</v>
      </c>
    </row>
    <row r="415" spans="1:26" ht="19.5">
      <c r="A415" s="1396" t="s">
        <v>182</v>
      </c>
      <c r="B415" s="1397"/>
      <c r="C415" s="1397"/>
      <c r="D415" s="1397"/>
      <c r="E415" s="1397"/>
      <c r="F415" s="1397"/>
      <c r="G415" s="1397"/>
      <c r="H415" s="1398"/>
      <c r="I415" s="1399"/>
      <c r="J415" s="1399"/>
      <c r="K415" s="1400"/>
      <c r="L415" s="1401"/>
      <c r="M415" s="1401"/>
      <c r="N415" s="1401"/>
      <c r="O415" s="1401"/>
      <c r="P415" s="1401"/>
    </row>
    <row r="416" spans="1:26" ht="19.5">
      <c r="A416" s="1396" t="s">
        <v>183</v>
      </c>
      <c r="B416" s="1397"/>
      <c r="C416" s="1397"/>
      <c r="D416" s="1397"/>
      <c r="E416" s="1397"/>
      <c r="F416" s="1397"/>
      <c r="G416" s="1402"/>
      <c r="H416" s="1403"/>
      <c r="I416" s="1404"/>
      <c r="J416" s="1404"/>
      <c r="K416" s="1401"/>
      <c r="L416" s="1401"/>
      <c r="M416" s="1401"/>
      <c r="N416" s="1401"/>
      <c r="O416" s="1401"/>
      <c r="P416" s="1401"/>
    </row>
    <row r="417" spans="1:26" ht="39">
      <c r="A417" s="1405">
        <v>1</v>
      </c>
      <c r="B417" s="1406" t="s">
        <v>184</v>
      </c>
      <c r="C417" s="1406"/>
      <c r="D417" s="1407"/>
      <c r="E417" s="1407"/>
      <c r="F417" s="1407"/>
      <c r="G417" s="1408"/>
      <c r="H417" s="1409" t="s">
        <v>35</v>
      </c>
      <c r="I417" s="1410">
        <f t="shared" ref="I417:J418" ca="1" si="182">I433</f>
        <v>15</v>
      </c>
      <c r="J417" s="1410">
        <f t="shared" ca="1" si="182"/>
        <v>15</v>
      </c>
      <c r="K417" s="1411">
        <f t="shared" ref="K417:K418" ca="1" si="183">IF(I417&gt;0,J417*100/I417,0)</f>
        <v>100</v>
      </c>
      <c r="L417" s="1412"/>
      <c r="M417" s="1412"/>
      <c r="N417" s="1412"/>
      <c r="O417" s="1412"/>
      <c r="P417" s="1412"/>
    </row>
    <row r="418" spans="1:26" ht="19.5">
      <c r="A418" s="1413"/>
      <c r="B418" s="1405"/>
      <c r="C418" s="1406"/>
      <c r="D418" s="1407"/>
      <c r="E418" s="1407"/>
      <c r="F418" s="1407"/>
      <c r="G418" s="1408"/>
      <c r="H418" s="1409" t="s">
        <v>49</v>
      </c>
      <c r="I418" s="1410">
        <f t="shared" ca="1" si="182"/>
        <v>1</v>
      </c>
      <c r="J418" s="1410">
        <f t="shared" si="182"/>
        <v>1</v>
      </c>
      <c r="K418" s="1411">
        <f t="shared" ca="1" si="183"/>
        <v>100</v>
      </c>
      <c r="L418" s="1412"/>
      <c r="M418" s="1412"/>
      <c r="N418" s="1412"/>
      <c r="O418" s="1412"/>
      <c r="P418" s="1412"/>
    </row>
    <row r="419" spans="1:26" ht="19.5">
      <c r="A419" s="1063"/>
      <c r="B419" s="1064"/>
      <c r="C419" s="1064" t="s">
        <v>16</v>
      </c>
      <c r="D419" s="1414" t="s">
        <v>17</v>
      </c>
      <c r="E419" s="1415"/>
      <c r="F419" s="1415"/>
      <c r="G419" s="1067"/>
      <c r="H419" s="1179" t="s">
        <v>12</v>
      </c>
      <c r="I419" s="1069"/>
      <c r="J419" s="1069"/>
      <c r="K419" s="1070"/>
      <c r="L419" s="1071">
        <f t="shared" ref="L419:N419" ca="1" si="184">L420+L421</f>
        <v>66560</v>
      </c>
      <c r="M419" s="1071">
        <f t="shared" ca="1" si="184"/>
        <v>66560</v>
      </c>
      <c r="N419" s="1071">
        <f t="shared" si="184"/>
        <v>65240</v>
      </c>
      <c r="O419" s="1071">
        <f t="shared" ref="O419:O424" ca="1" si="185">IF(L419&gt;0,N419*100/L419,0)</f>
        <v>98.01682692307692</v>
      </c>
      <c r="P419" s="1071">
        <f t="shared" ref="P419:P424" ca="1" si="186">IF(M419&gt;0,N419*100/M419,0)</f>
        <v>98.01682692307692</v>
      </c>
      <c r="Q419" s="935"/>
      <c r="R419" s="935"/>
      <c r="S419" s="935"/>
      <c r="T419" s="935"/>
      <c r="U419" s="935"/>
      <c r="V419" s="935"/>
      <c r="W419" s="935"/>
      <c r="X419" s="935"/>
      <c r="Y419" s="935"/>
      <c r="Z419" s="935"/>
    </row>
    <row r="420" spans="1:26" ht="18.75" hidden="1">
      <c r="A420" s="1072"/>
      <c r="B420" s="952"/>
      <c r="C420" s="952"/>
      <c r="D420" s="1217"/>
      <c r="E420" s="953" t="s">
        <v>185</v>
      </c>
      <c r="F420" s="952"/>
      <c r="G420" s="1073"/>
      <c r="H420" s="1081" t="s">
        <v>12</v>
      </c>
      <c r="I420" s="956"/>
      <c r="J420" s="956"/>
      <c r="K420" s="957"/>
      <c r="L420" s="957">
        <f t="shared" ref="L420:N421" si="187">L423+L430</f>
        <v>0</v>
      </c>
      <c r="M420" s="957">
        <f t="shared" si="187"/>
        <v>0</v>
      </c>
      <c r="N420" s="957">
        <f t="shared" si="187"/>
        <v>0</v>
      </c>
      <c r="O420" s="957">
        <f t="shared" si="185"/>
        <v>0</v>
      </c>
      <c r="P420" s="957">
        <f t="shared" si="186"/>
        <v>0</v>
      </c>
      <c r="Q420" s="943"/>
      <c r="R420" s="943"/>
      <c r="S420" s="943"/>
      <c r="T420" s="943"/>
      <c r="U420" s="943"/>
      <c r="V420" s="943"/>
      <c r="W420" s="943"/>
      <c r="X420" s="943"/>
      <c r="Y420" s="943"/>
      <c r="Z420" s="943"/>
    </row>
    <row r="421" spans="1:26" ht="18.75" hidden="1">
      <c r="A421" s="1072"/>
      <c r="B421" s="952"/>
      <c r="C421" s="952"/>
      <c r="D421" s="1217"/>
      <c r="E421" s="953" t="s">
        <v>186</v>
      </c>
      <c r="F421" s="952"/>
      <c r="G421" s="1073"/>
      <c r="H421" s="1081" t="s">
        <v>12</v>
      </c>
      <c r="I421" s="956"/>
      <c r="J421" s="956"/>
      <c r="K421" s="957"/>
      <c r="L421" s="957">
        <f t="shared" ca="1" si="187"/>
        <v>66560</v>
      </c>
      <c r="M421" s="957">
        <f t="shared" ca="1" si="187"/>
        <v>66560</v>
      </c>
      <c r="N421" s="957">
        <f t="shared" si="187"/>
        <v>65240</v>
      </c>
      <c r="O421" s="957">
        <f t="shared" ca="1" si="185"/>
        <v>98.01682692307692</v>
      </c>
      <c r="P421" s="957">
        <f t="shared" ca="1" si="186"/>
        <v>98.01682692307692</v>
      </c>
      <c r="Q421" s="943"/>
      <c r="R421" s="943"/>
      <c r="S421" s="943"/>
      <c r="T421" s="943"/>
      <c r="U421" s="943"/>
      <c r="V421" s="943"/>
      <c r="W421" s="943"/>
      <c r="X421" s="943"/>
      <c r="Y421" s="943"/>
      <c r="Z421" s="943"/>
    </row>
    <row r="422" spans="1:26" ht="18.75">
      <c r="A422" s="1075"/>
      <c r="B422" s="1185"/>
      <c r="C422" s="945"/>
      <c r="D422" s="946" t="s">
        <v>20</v>
      </c>
      <c r="E422" s="945"/>
      <c r="F422" s="945"/>
      <c r="G422" s="947"/>
      <c r="H422" s="1077" t="s">
        <v>12</v>
      </c>
      <c r="I422" s="1078"/>
      <c r="J422" s="1078"/>
      <c r="K422" s="1079"/>
      <c r="L422" s="950">
        <f t="shared" ref="L422:N422" ca="1" si="188">L423+L424</f>
        <v>66560</v>
      </c>
      <c r="M422" s="950">
        <f t="shared" ca="1" si="188"/>
        <v>66560</v>
      </c>
      <c r="N422" s="950">
        <f t="shared" si="188"/>
        <v>65240</v>
      </c>
      <c r="O422" s="950">
        <f t="shared" ca="1" si="185"/>
        <v>98.01682692307692</v>
      </c>
      <c r="P422" s="950">
        <f t="shared" ca="1" si="186"/>
        <v>98.01682692307692</v>
      </c>
      <c r="Q422" s="935"/>
      <c r="R422" s="935"/>
      <c r="S422" s="935"/>
      <c r="T422" s="935"/>
      <c r="U422" s="935"/>
      <c r="V422" s="935"/>
      <c r="W422" s="935"/>
      <c r="X422" s="935"/>
      <c r="Y422" s="935"/>
      <c r="Z422" s="935"/>
    </row>
    <row r="423" spans="1:26" ht="18.75" hidden="1">
      <c r="A423" s="1072"/>
      <c r="B423" s="952"/>
      <c r="C423" s="952"/>
      <c r="D423" s="1217"/>
      <c r="E423" s="953" t="s">
        <v>185</v>
      </c>
      <c r="F423" s="952"/>
      <c r="G423" s="1073"/>
      <c r="H423" s="1081" t="s">
        <v>12</v>
      </c>
      <c r="I423" s="956"/>
      <c r="J423" s="956"/>
      <c r="K423" s="957"/>
      <c r="L423" s="957">
        <v>0</v>
      </c>
      <c r="M423" s="957">
        <v>0</v>
      </c>
      <c r="N423" s="957">
        <v>0</v>
      </c>
      <c r="O423" s="957">
        <f t="shared" si="185"/>
        <v>0</v>
      </c>
      <c r="P423" s="957">
        <f t="shared" si="186"/>
        <v>0</v>
      </c>
      <c r="Q423" s="943"/>
      <c r="R423" s="943"/>
      <c r="S423" s="943"/>
      <c r="T423" s="943"/>
      <c r="U423" s="943"/>
      <c r="V423" s="943"/>
      <c r="W423" s="943"/>
      <c r="X423" s="943"/>
      <c r="Y423" s="943"/>
      <c r="Z423" s="943"/>
    </row>
    <row r="424" spans="1:26" ht="18.75" hidden="1">
      <c r="A424" s="1072"/>
      <c r="B424" s="952"/>
      <c r="C424" s="952"/>
      <c r="D424" s="1217"/>
      <c r="E424" s="953" t="s">
        <v>186</v>
      </c>
      <c r="F424" s="952"/>
      <c r="G424" s="1073"/>
      <c r="H424" s="1081" t="s">
        <v>12</v>
      </c>
      <c r="I424" s="956"/>
      <c r="J424" s="956"/>
      <c r="K424" s="957"/>
      <c r="L424" s="957">
        <f ca="1">IFERROR(__xludf.DUMMYFUNCTION("IMPORTRANGE(""https://docs.google.com/spreadsheets/d/1QqKyyYR6Q21VydFLVH3TRQUabQu_ym0Zz7PgGX0-kHA/edit?usp=sharing"",""แผน!EY62"")"),66560)</f>
        <v>66560</v>
      </c>
      <c r="M424" s="957">
        <f ca="1">L424</f>
        <v>66560</v>
      </c>
      <c r="N424" s="957">
        <f>N425+N426+N427+N428</f>
        <v>65240</v>
      </c>
      <c r="O424" s="957">
        <f t="shared" ca="1" si="185"/>
        <v>98.01682692307692</v>
      </c>
      <c r="P424" s="957">
        <f t="shared" ca="1" si="186"/>
        <v>98.01682692307692</v>
      </c>
      <c r="Q424" s="943"/>
      <c r="R424" s="943"/>
      <c r="S424" s="943"/>
      <c r="T424" s="943"/>
      <c r="U424" s="943"/>
      <c r="V424" s="943"/>
      <c r="W424" s="943"/>
      <c r="X424" s="943"/>
      <c r="Y424" s="943"/>
      <c r="Z424" s="943"/>
    </row>
    <row r="425" spans="1:26" ht="18.75">
      <c r="A425" s="1416"/>
      <c r="B425" s="1417"/>
      <c r="C425" s="1418"/>
      <c r="D425" s="1418"/>
      <c r="E425" s="1418"/>
      <c r="F425" s="1418" t="s">
        <v>187</v>
      </c>
      <c r="G425" s="1103"/>
      <c r="H425" s="1077" t="s">
        <v>12</v>
      </c>
      <c r="I425" s="949"/>
      <c r="J425" s="949"/>
      <c r="K425" s="950"/>
      <c r="L425" s="950"/>
      <c r="M425" s="950"/>
      <c r="N425" s="1186">
        <v>49950</v>
      </c>
      <c r="O425" s="950"/>
      <c r="P425" s="950"/>
      <c r="Q425" s="1419"/>
      <c r="R425" s="1419"/>
      <c r="S425" s="1419"/>
      <c r="T425" s="1419"/>
      <c r="U425" s="1419"/>
      <c r="V425" s="1419"/>
      <c r="W425" s="1419"/>
      <c r="X425" s="1419"/>
      <c r="Y425" s="1419"/>
      <c r="Z425" s="1419"/>
    </row>
    <row r="426" spans="1:26" ht="18.75">
      <c r="A426" s="1416"/>
      <c r="B426" s="1417"/>
      <c r="C426" s="1418"/>
      <c r="D426" s="1418"/>
      <c r="E426" s="1418"/>
      <c r="F426" s="1418" t="s">
        <v>188</v>
      </c>
      <c r="G426" s="1103"/>
      <c r="H426" s="1077" t="s">
        <v>12</v>
      </c>
      <c r="I426" s="949"/>
      <c r="J426" s="949"/>
      <c r="K426" s="950"/>
      <c r="L426" s="950"/>
      <c r="M426" s="950"/>
      <c r="N426" s="1186">
        <v>0</v>
      </c>
      <c r="O426" s="950"/>
      <c r="P426" s="950"/>
      <c r="Q426" s="1419"/>
      <c r="R426" s="1419"/>
      <c r="S426" s="1419"/>
      <c r="T426" s="1419"/>
      <c r="U426" s="1419"/>
      <c r="V426" s="1419"/>
      <c r="W426" s="1419"/>
      <c r="X426" s="1419"/>
      <c r="Y426" s="1419"/>
      <c r="Z426" s="1419"/>
    </row>
    <row r="427" spans="1:26" ht="18.75">
      <c r="A427" s="1416"/>
      <c r="B427" s="1417"/>
      <c r="C427" s="1418"/>
      <c r="D427" s="1418"/>
      <c r="E427" s="1418"/>
      <c r="F427" s="1418" t="s">
        <v>189</v>
      </c>
      <c r="G427" s="1103"/>
      <c r="H427" s="1077" t="s">
        <v>12</v>
      </c>
      <c r="I427" s="949"/>
      <c r="J427" s="949"/>
      <c r="K427" s="950"/>
      <c r="L427" s="950"/>
      <c r="M427" s="950"/>
      <c r="N427" s="1186">
        <v>0</v>
      </c>
      <c r="O427" s="950"/>
      <c r="P427" s="950"/>
      <c r="Q427" s="1419"/>
      <c r="R427" s="1419"/>
      <c r="S427" s="1419"/>
      <c r="T427" s="1419"/>
      <c r="U427" s="1419"/>
      <c r="V427" s="1419"/>
      <c r="W427" s="1419"/>
      <c r="X427" s="1419"/>
      <c r="Y427" s="1419"/>
      <c r="Z427" s="1419"/>
    </row>
    <row r="428" spans="1:26" ht="18.75">
      <c r="A428" s="1187"/>
      <c r="B428" s="1185"/>
      <c r="C428" s="945"/>
      <c r="D428" s="945"/>
      <c r="E428" s="945"/>
      <c r="F428" s="1076" t="s">
        <v>190</v>
      </c>
      <c r="G428" s="1122"/>
      <c r="H428" s="1077" t="s">
        <v>12</v>
      </c>
      <c r="I428" s="949"/>
      <c r="J428" s="949"/>
      <c r="K428" s="950"/>
      <c r="L428" s="950"/>
      <c r="M428" s="950"/>
      <c r="N428" s="1186">
        <f>1940+13350</f>
        <v>15290</v>
      </c>
      <c r="O428" s="950"/>
      <c r="P428" s="950"/>
      <c r="Q428" s="935"/>
      <c r="R428" s="935"/>
      <c r="S428" s="935"/>
      <c r="T428" s="935"/>
      <c r="U428" s="935"/>
      <c r="V428" s="935"/>
      <c r="W428" s="935"/>
      <c r="X428" s="935"/>
      <c r="Y428" s="935"/>
      <c r="Z428" s="935"/>
    </row>
    <row r="429" spans="1:26" ht="18.75">
      <c r="A429" s="1075"/>
      <c r="B429" s="1185"/>
      <c r="C429" s="945"/>
      <c r="D429" s="946" t="s">
        <v>21</v>
      </c>
      <c r="E429" s="945"/>
      <c r="F429" s="945"/>
      <c r="G429" s="947"/>
      <c r="H429" s="1084" t="s">
        <v>12</v>
      </c>
      <c r="I429" s="1078"/>
      <c r="J429" s="1078"/>
      <c r="K429" s="1079"/>
      <c r="L429" s="950">
        <f t="shared" ref="L429:N429" ca="1" si="189">L430+L431</f>
        <v>0</v>
      </c>
      <c r="M429" s="950">
        <f t="shared" si="189"/>
        <v>0</v>
      </c>
      <c r="N429" s="950">
        <f t="shared" si="189"/>
        <v>0</v>
      </c>
      <c r="O429" s="950">
        <f t="shared" ref="O429:O431" ca="1" si="190">IF(L429&gt;0,N429*100/L429,0)</f>
        <v>0</v>
      </c>
      <c r="P429" s="950">
        <f t="shared" ref="P429:P431" si="191">IF(M429&gt;0,N429*100/M429,0)</f>
        <v>0</v>
      </c>
      <c r="Q429" s="935"/>
      <c r="R429" s="935"/>
      <c r="S429" s="935"/>
      <c r="T429" s="935"/>
      <c r="U429" s="935"/>
      <c r="V429" s="935"/>
      <c r="W429" s="935"/>
      <c r="X429" s="935"/>
      <c r="Y429" s="935"/>
      <c r="Z429" s="935"/>
    </row>
    <row r="430" spans="1:26" ht="18.75" hidden="1">
      <c r="A430" s="1072"/>
      <c r="B430" s="1208"/>
      <c r="C430" s="952"/>
      <c r="D430" s="952"/>
      <c r="E430" s="953" t="s">
        <v>18</v>
      </c>
      <c r="F430" s="952"/>
      <c r="G430" s="954"/>
      <c r="H430" s="1081" t="s">
        <v>12</v>
      </c>
      <c r="I430" s="1082"/>
      <c r="J430" s="1082"/>
      <c r="K430" s="1083"/>
      <c r="L430" s="957">
        <v>0</v>
      </c>
      <c r="M430" s="957">
        <v>0</v>
      </c>
      <c r="N430" s="957">
        <v>0</v>
      </c>
      <c r="O430" s="957">
        <f t="shared" si="190"/>
        <v>0</v>
      </c>
      <c r="P430" s="957">
        <f t="shared" si="191"/>
        <v>0</v>
      </c>
      <c r="Q430" s="943"/>
      <c r="R430" s="943"/>
      <c r="S430" s="943"/>
      <c r="T430" s="943"/>
      <c r="U430" s="943"/>
      <c r="V430" s="943"/>
      <c r="W430" s="943"/>
      <c r="X430" s="943"/>
      <c r="Y430" s="943"/>
      <c r="Z430" s="943"/>
    </row>
    <row r="431" spans="1:26" ht="18.75" hidden="1">
      <c r="A431" s="1072"/>
      <c r="B431" s="1208"/>
      <c r="C431" s="952"/>
      <c r="D431" s="952"/>
      <c r="E431" s="953" t="s">
        <v>19</v>
      </c>
      <c r="F431" s="952"/>
      <c r="G431" s="954"/>
      <c r="H431" s="1085" t="s">
        <v>12</v>
      </c>
      <c r="I431" s="1082"/>
      <c r="J431" s="1082"/>
      <c r="K431" s="1083"/>
      <c r="L431" s="957">
        <f ca="1">IFERROR(__xludf.DUMMYFUNCTION("IMPORTRANGE(""https://docs.google.com/spreadsheets/d/1QqKyyYR6Q21VydFLVH3TRQUabQu_ym0Zz7PgGX0-kHA/edit?usp=sharing"",""แผน!FB62"")"),0)</f>
        <v>0</v>
      </c>
      <c r="M431" s="957">
        <v>0</v>
      </c>
      <c r="N431" s="957">
        <v>0</v>
      </c>
      <c r="O431" s="957">
        <f t="shared" ca="1" si="190"/>
        <v>0</v>
      </c>
      <c r="P431" s="957">
        <f t="shared" si="191"/>
        <v>0</v>
      </c>
      <c r="Q431" s="943"/>
      <c r="R431" s="943"/>
      <c r="S431" s="943"/>
      <c r="T431" s="943"/>
      <c r="U431" s="943"/>
      <c r="V431" s="943"/>
      <c r="W431" s="943"/>
      <c r="X431" s="943"/>
      <c r="Y431" s="943"/>
      <c r="Z431" s="943"/>
    </row>
    <row r="432" spans="1:26" ht="19.5">
      <c r="A432" s="1272"/>
      <c r="B432" s="1273"/>
      <c r="C432" s="1064" t="s">
        <v>16</v>
      </c>
      <c r="D432" s="1420" t="s">
        <v>38</v>
      </c>
      <c r="E432" s="1421"/>
      <c r="F432" s="1421"/>
      <c r="G432" s="1422"/>
      <c r="H432" s="1423"/>
      <c r="I432" s="1069"/>
      <c r="J432" s="1069"/>
      <c r="K432" s="1070"/>
      <c r="L432" s="1070"/>
      <c r="M432" s="1070"/>
      <c r="N432" s="1070"/>
      <c r="O432" s="1070"/>
      <c r="P432" s="1070"/>
      <c r="Q432" s="935"/>
      <c r="R432" s="935"/>
      <c r="S432" s="935"/>
      <c r="T432" s="935"/>
      <c r="U432" s="935"/>
      <c r="V432" s="935"/>
      <c r="W432" s="935"/>
      <c r="X432" s="935"/>
      <c r="Y432" s="935"/>
      <c r="Z432" s="935"/>
    </row>
    <row r="433" spans="1:26" ht="19.5">
      <c r="A433" s="1086"/>
      <c r="B433" s="1087"/>
      <c r="C433" s="1087"/>
      <c r="D433" s="1100" t="s">
        <v>191</v>
      </c>
      <c r="E433" s="1094"/>
      <c r="F433" s="1094"/>
      <c r="G433" s="1095"/>
      <c r="H433" s="1109" t="s">
        <v>35</v>
      </c>
      <c r="I433" s="1107">
        <f ca="1">I435</f>
        <v>15</v>
      </c>
      <c r="J433" s="1107">
        <f ca="1">IF(AND(J435=I435,J437=I437,J439=I439),I437+I439,IF(AND(J435=I437,J437=I437),I437,IF(AND(J435=I439,J439=I439),I439,0)))</f>
        <v>15</v>
      </c>
      <c r="K433" s="1108">
        <f t="shared" ref="K433:K435" ca="1" si="192">IF(I433&gt;0,J433*100/I433,0)</f>
        <v>100</v>
      </c>
      <c r="L433" s="950"/>
      <c r="M433" s="950"/>
      <c r="N433" s="950"/>
      <c r="O433" s="950"/>
      <c r="P433" s="950"/>
      <c r="Q433" s="935"/>
      <c r="R433" s="935"/>
      <c r="S433" s="935"/>
      <c r="T433" s="935"/>
      <c r="U433" s="935"/>
      <c r="V433" s="935"/>
      <c r="W433" s="935"/>
      <c r="X433" s="935"/>
      <c r="Y433" s="935"/>
      <c r="Z433" s="935"/>
    </row>
    <row r="434" spans="1:26" ht="19.5">
      <c r="A434" s="1086"/>
      <c r="B434" s="1087"/>
      <c r="C434" s="1087"/>
      <c r="D434" s="1100" t="s">
        <v>192</v>
      </c>
      <c r="E434" s="1094"/>
      <c r="F434" s="1094"/>
      <c r="G434" s="1095"/>
      <c r="H434" s="1109" t="s">
        <v>49</v>
      </c>
      <c r="I434" s="1107">
        <f t="shared" ref="I434:J434" ca="1" si="193">I438+I440</f>
        <v>1</v>
      </c>
      <c r="J434" s="1107">
        <f t="shared" si="193"/>
        <v>1</v>
      </c>
      <c r="K434" s="1108">
        <f t="shared" ca="1" si="192"/>
        <v>100</v>
      </c>
      <c r="L434" s="950"/>
      <c r="M434" s="950"/>
      <c r="N434" s="950"/>
      <c r="O434" s="950"/>
      <c r="P434" s="950"/>
      <c r="Q434" s="935"/>
      <c r="R434" s="935"/>
      <c r="S434" s="935"/>
      <c r="T434" s="935"/>
      <c r="U434" s="935"/>
      <c r="V434" s="935"/>
      <c r="W434" s="935"/>
      <c r="X434" s="935"/>
      <c r="Y434" s="935"/>
      <c r="Z434" s="935"/>
    </row>
    <row r="435" spans="1:26" ht="18.75">
      <c r="A435" s="1086"/>
      <c r="B435" s="1087"/>
      <c r="C435" s="1087"/>
      <c r="D435" s="1093" t="s">
        <v>193</v>
      </c>
      <c r="E435" s="1094"/>
      <c r="F435" s="1094"/>
      <c r="G435" s="1095"/>
      <c r="H435" s="948" t="s">
        <v>35</v>
      </c>
      <c r="I435" s="1424">
        <f ca="1">IFERROR(__xludf.DUMMYFUNCTION("IMPORTRANGE(""https://docs.google.com/spreadsheets/d/1QqKyyYR6Q21VydFLVH3TRQUabQu_ym0Zz7PgGX0-kHA/edit?usp=sharing"",""แผน!FC62"")"),15)</f>
        <v>15</v>
      </c>
      <c r="J435" s="1425">
        <v>15</v>
      </c>
      <c r="K435" s="950">
        <f t="shared" ca="1" si="192"/>
        <v>100</v>
      </c>
      <c r="L435" s="950"/>
      <c r="M435" s="950"/>
      <c r="N435" s="950"/>
      <c r="O435" s="950"/>
      <c r="P435" s="950"/>
      <c r="Q435" s="935"/>
      <c r="R435" s="935"/>
      <c r="S435" s="935"/>
      <c r="T435" s="935"/>
      <c r="U435" s="935"/>
      <c r="V435" s="935"/>
      <c r="W435" s="935"/>
      <c r="X435" s="935"/>
      <c r="Y435" s="935"/>
      <c r="Z435" s="935"/>
    </row>
    <row r="436" spans="1:26" ht="18.75">
      <c r="A436" s="1086"/>
      <c r="B436" s="1087"/>
      <c r="C436" s="1087"/>
      <c r="D436" s="1093" t="s">
        <v>194</v>
      </c>
      <c r="E436" s="1094"/>
      <c r="F436" s="1094"/>
      <c r="G436" s="1095"/>
      <c r="H436" s="948"/>
      <c r="I436" s="949"/>
      <c r="J436" s="949"/>
      <c r="K436" s="950"/>
      <c r="L436" s="950"/>
      <c r="M436" s="950"/>
      <c r="N436" s="950"/>
      <c r="O436" s="950"/>
      <c r="P436" s="950"/>
      <c r="Q436" s="935"/>
      <c r="R436" s="935"/>
      <c r="S436" s="935"/>
      <c r="T436" s="935"/>
      <c r="U436" s="935"/>
      <c r="V436" s="935"/>
      <c r="W436" s="935"/>
      <c r="X436" s="935"/>
      <c r="Y436" s="935"/>
      <c r="Z436" s="935"/>
    </row>
    <row r="437" spans="1:26" ht="18.75">
      <c r="A437" s="1086"/>
      <c r="B437" s="1087"/>
      <c r="C437" s="1087"/>
      <c r="D437" s="1093" t="s">
        <v>195</v>
      </c>
      <c r="E437" s="1094"/>
      <c r="F437" s="1094"/>
      <c r="G437" s="1095"/>
      <c r="H437" s="948" t="s">
        <v>35</v>
      </c>
      <c r="I437" s="1424">
        <f ca="1">IFERROR(__xludf.DUMMYFUNCTION("IMPORTRANGE(""https://docs.google.com/spreadsheets/d/1QqKyyYR6Q21VydFLVH3TRQUabQu_ym0Zz7PgGX0-kHA/edit?usp=sharing"",""แผน!FD62"")"),0)</f>
        <v>0</v>
      </c>
      <c r="J437" s="1425">
        <v>0</v>
      </c>
      <c r="K437" s="950">
        <f t="shared" ref="K437:K443" ca="1" si="194">IF(I437&gt;0,J437*100/I437,0)</f>
        <v>0</v>
      </c>
      <c r="L437" s="950"/>
      <c r="M437" s="950"/>
      <c r="N437" s="950"/>
      <c r="O437" s="950"/>
      <c r="P437" s="950"/>
      <c r="Q437" s="935"/>
      <c r="R437" s="935"/>
      <c r="S437" s="935"/>
      <c r="T437" s="935"/>
      <c r="U437" s="935"/>
      <c r="V437" s="935"/>
      <c r="W437" s="935"/>
      <c r="X437" s="935"/>
      <c r="Y437" s="935"/>
      <c r="Z437" s="935"/>
    </row>
    <row r="438" spans="1:26" ht="18.75">
      <c r="A438" s="1086"/>
      <c r="B438" s="1087"/>
      <c r="C438" s="1087"/>
      <c r="D438" s="1093" t="s">
        <v>196</v>
      </c>
      <c r="E438" s="1094"/>
      <c r="F438" s="1094"/>
      <c r="G438" s="1095"/>
      <c r="H438" s="948" t="s">
        <v>49</v>
      </c>
      <c r="I438" s="949">
        <f ca="1">IFERROR(__xludf.DUMMYFUNCTION("IMPORTRANGE(""https://docs.google.com/spreadsheets/d/1QqKyyYR6Q21VydFLVH3TRQUabQu_ym0Zz7PgGX0-kHA/edit?usp=sharing"",""แผน!FE62"")"),0)</f>
        <v>0</v>
      </c>
      <c r="J438" s="1098">
        <v>0</v>
      </c>
      <c r="K438" s="950">
        <f t="shared" ca="1" si="194"/>
        <v>0</v>
      </c>
      <c r="L438" s="950"/>
      <c r="M438" s="950"/>
      <c r="N438" s="950"/>
      <c r="O438" s="950"/>
      <c r="P438" s="950"/>
      <c r="Q438" s="935"/>
      <c r="R438" s="935"/>
      <c r="S438" s="935"/>
      <c r="T438" s="935"/>
      <c r="U438" s="935"/>
      <c r="V438" s="935"/>
      <c r="W438" s="935"/>
      <c r="X438" s="935"/>
      <c r="Y438" s="935"/>
      <c r="Z438" s="935"/>
    </row>
    <row r="439" spans="1:26" ht="18.75">
      <c r="A439" s="1086"/>
      <c r="B439" s="1087"/>
      <c r="C439" s="1087"/>
      <c r="D439" s="1093" t="s">
        <v>197</v>
      </c>
      <c r="E439" s="1094"/>
      <c r="F439" s="1094"/>
      <c r="G439" s="1095"/>
      <c r="H439" s="948" t="s">
        <v>35</v>
      </c>
      <c r="I439" s="1424">
        <f ca="1">IFERROR(__xludf.DUMMYFUNCTION("IMPORTRANGE(""https://docs.google.com/spreadsheets/d/1QqKyyYR6Q21VydFLVH3TRQUabQu_ym0Zz7PgGX0-kHA/edit?usp=sharing"",""แผน!FF62"")"),15)</f>
        <v>15</v>
      </c>
      <c r="J439" s="1425">
        <v>15</v>
      </c>
      <c r="K439" s="950">
        <f t="shared" ca="1" si="194"/>
        <v>100</v>
      </c>
      <c r="L439" s="950"/>
      <c r="M439" s="950"/>
      <c r="N439" s="950"/>
      <c r="O439" s="950"/>
      <c r="P439" s="950"/>
      <c r="Q439" s="935"/>
      <c r="R439" s="935"/>
      <c r="S439" s="935"/>
      <c r="T439" s="935"/>
      <c r="U439" s="935"/>
      <c r="V439" s="935"/>
      <c r="W439" s="935"/>
      <c r="X439" s="935"/>
      <c r="Y439" s="935"/>
      <c r="Z439" s="935"/>
    </row>
    <row r="440" spans="1:26" ht="18.75">
      <c r="A440" s="1086"/>
      <c r="B440" s="1087"/>
      <c r="C440" s="1087"/>
      <c r="D440" s="1093" t="s">
        <v>198</v>
      </c>
      <c r="E440" s="1094"/>
      <c r="F440" s="1094"/>
      <c r="G440" s="1095"/>
      <c r="H440" s="948" t="s">
        <v>49</v>
      </c>
      <c r="I440" s="949">
        <f ca="1">IFERROR(__xludf.DUMMYFUNCTION("IMPORTRANGE(""https://docs.google.com/spreadsheets/d/1QqKyyYR6Q21VydFLVH3TRQUabQu_ym0Zz7PgGX0-kHA/edit?usp=sharing"",""แผน!FG62"")"),1)</f>
        <v>1</v>
      </c>
      <c r="J440" s="1098">
        <v>1</v>
      </c>
      <c r="K440" s="950">
        <f t="shared" ca="1" si="194"/>
        <v>100</v>
      </c>
      <c r="L440" s="950"/>
      <c r="M440" s="950"/>
      <c r="N440" s="950"/>
      <c r="O440" s="950"/>
      <c r="P440" s="950"/>
      <c r="Q440" s="935"/>
      <c r="R440" s="935"/>
      <c r="S440" s="935"/>
      <c r="T440" s="935"/>
      <c r="U440" s="935"/>
      <c r="V440" s="935"/>
      <c r="W440" s="935"/>
      <c r="X440" s="935"/>
      <c r="Y440" s="935"/>
      <c r="Z440" s="935"/>
    </row>
    <row r="441" spans="1:26" ht="18.75">
      <c r="A441" s="1086"/>
      <c r="B441" s="1087"/>
      <c r="C441" s="1087"/>
      <c r="D441" s="1093" t="s">
        <v>199</v>
      </c>
      <c r="E441" s="1094"/>
      <c r="F441" s="1094"/>
      <c r="G441" s="1095"/>
      <c r="H441" s="948" t="s">
        <v>35</v>
      </c>
      <c r="I441" s="949">
        <f ca="1">IFERROR(__xludf.DUMMYFUNCTION("IMPORTRANGE(""https://docs.google.com/spreadsheets/d/1QqKyyYR6Q21VydFLVH3TRQUabQu_ym0Zz7PgGX0-kHA/edit?usp=sharing"",""แผน!FH62"")"),0)</f>
        <v>0</v>
      </c>
      <c r="J441" s="949">
        <v>0</v>
      </c>
      <c r="K441" s="950">
        <f t="shared" ca="1" si="194"/>
        <v>0</v>
      </c>
      <c r="L441" s="950"/>
      <c r="M441" s="950"/>
      <c r="N441" s="950"/>
      <c r="O441" s="950"/>
      <c r="P441" s="950"/>
      <c r="Q441" s="935"/>
      <c r="R441" s="935"/>
      <c r="S441" s="935"/>
      <c r="T441" s="935"/>
      <c r="U441" s="935"/>
      <c r="V441" s="935"/>
      <c r="W441" s="935"/>
      <c r="X441" s="935"/>
      <c r="Y441" s="935"/>
      <c r="Z441" s="935"/>
    </row>
    <row r="442" spans="1:26" ht="19.5" hidden="1">
      <c r="A442" s="1426">
        <v>2</v>
      </c>
      <c r="B442" s="1427" t="s">
        <v>200</v>
      </c>
      <c r="C442" s="1428"/>
      <c r="D442" s="1428"/>
      <c r="E442" s="1428"/>
      <c r="F442" s="1428"/>
      <c r="G442" s="1429"/>
      <c r="H442" s="1430" t="s">
        <v>35</v>
      </c>
      <c r="I442" s="1431">
        <f t="shared" ref="I442:J442" ca="1" si="195">I460</f>
        <v>0</v>
      </c>
      <c r="J442" s="1431">
        <f t="shared" si="195"/>
        <v>0</v>
      </c>
      <c r="K442" s="1432">
        <f t="shared" ca="1" si="194"/>
        <v>0</v>
      </c>
      <c r="L442" s="1433"/>
      <c r="M442" s="1433"/>
      <c r="N442" s="1433"/>
      <c r="O442" s="1433"/>
      <c r="P442" s="1433"/>
      <c r="Q442" s="1419"/>
      <c r="R442" s="1419"/>
      <c r="S442" s="1419"/>
      <c r="T442" s="1419"/>
      <c r="U442" s="1419"/>
      <c r="V442" s="1419"/>
      <c r="W442" s="1419"/>
      <c r="X442" s="1419"/>
      <c r="Y442" s="1419"/>
      <c r="Z442" s="1419"/>
    </row>
    <row r="443" spans="1:26" ht="19.5" hidden="1">
      <c r="A443" s="1434"/>
      <c r="B443" s="1435"/>
      <c r="C443" s="1436"/>
      <c r="D443" s="1436"/>
      <c r="E443" s="1436"/>
      <c r="F443" s="1436"/>
      <c r="G443" s="1437"/>
      <c r="H443" s="1409" t="s">
        <v>46</v>
      </c>
      <c r="I443" s="1410">
        <f t="shared" ref="I443:J443" ca="1" si="196">I462</f>
        <v>0</v>
      </c>
      <c r="J443" s="1410">
        <f t="shared" si="196"/>
        <v>0</v>
      </c>
      <c r="K443" s="1411">
        <f t="shared" ca="1" si="194"/>
        <v>0</v>
      </c>
      <c r="L443" s="1412"/>
      <c r="M443" s="1412"/>
      <c r="N443" s="1412"/>
      <c r="O443" s="1412"/>
      <c r="P443" s="1412"/>
      <c r="Q443" s="1419"/>
      <c r="R443" s="1419"/>
      <c r="S443" s="1419"/>
      <c r="T443" s="1419"/>
      <c r="U443" s="1419"/>
      <c r="V443" s="1419"/>
      <c r="W443" s="1419"/>
      <c r="X443" s="1419"/>
      <c r="Y443" s="1419"/>
      <c r="Z443" s="1419"/>
    </row>
    <row r="444" spans="1:26" ht="19.5" hidden="1">
      <c r="A444" s="1438"/>
      <c r="B444" s="1418"/>
      <c r="C444" s="1418" t="s">
        <v>16</v>
      </c>
      <c r="D444" s="1439" t="s">
        <v>17</v>
      </c>
      <c r="E444" s="987"/>
      <c r="F444" s="987"/>
      <c r="G444" s="1103"/>
      <c r="H444" s="1440" t="s">
        <v>12</v>
      </c>
      <c r="I444" s="949"/>
      <c r="J444" s="949"/>
      <c r="K444" s="950"/>
      <c r="L444" s="1108">
        <f t="shared" ref="L444:N444" ca="1" si="197">L445+L446</f>
        <v>0</v>
      </c>
      <c r="M444" s="1108">
        <f t="shared" si="197"/>
        <v>0</v>
      </c>
      <c r="N444" s="1108">
        <f t="shared" si="197"/>
        <v>0</v>
      </c>
      <c r="O444" s="1108">
        <f t="shared" ref="O444:O449" ca="1" si="198">IF(L444&gt;0,N444*100/L444,0)</f>
        <v>0</v>
      </c>
      <c r="P444" s="1108">
        <f t="shared" ref="P444:P449" si="199">IF(M444&gt;0,N444*100/M444,0)</f>
        <v>0</v>
      </c>
      <c r="Q444" s="1419"/>
      <c r="R444" s="1419"/>
      <c r="S444" s="1419"/>
      <c r="T444" s="1419"/>
      <c r="U444" s="1419"/>
      <c r="V444" s="1419"/>
      <c r="W444" s="1419"/>
      <c r="X444" s="1419"/>
      <c r="Y444" s="1419"/>
      <c r="Z444" s="1419"/>
    </row>
    <row r="445" spans="1:26" ht="18.75" hidden="1">
      <c r="A445" s="1441"/>
      <c r="B445" s="1442"/>
      <c r="C445" s="1442"/>
      <c r="D445" s="1443"/>
      <c r="E445" s="1442" t="s">
        <v>185</v>
      </c>
      <c r="F445" s="1442"/>
      <c r="G445" s="1444"/>
      <c r="H445" s="1081" t="s">
        <v>12</v>
      </c>
      <c r="I445" s="956"/>
      <c r="J445" s="956"/>
      <c r="K445" s="957"/>
      <c r="L445" s="957">
        <f t="shared" ref="L445:N446" si="200">L448+L455</f>
        <v>0</v>
      </c>
      <c r="M445" s="957">
        <f t="shared" si="200"/>
        <v>0</v>
      </c>
      <c r="N445" s="957">
        <f t="shared" si="200"/>
        <v>0</v>
      </c>
      <c r="O445" s="957">
        <f t="shared" si="198"/>
        <v>0</v>
      </c>
      <c r="P445" s="957">
        <f t="shared" si="199"/>
        <v>0</v>
      </c>
      <c r="Q445" s="1445"/>
      <c r="R445" s="1445"/>
      <c r="S445" s="1445"/>
      <c r="T445" s="1445"/>
      <c r="U445" s="1445"/>
      <c r="V445" s="1445"/>
      <c r="W445" s="1445"/>
      <c r="X445" s="1445"/>
      <c r="Y445" s="1445"/>
      <c r="Z445" s="1445"/>
    </row>
    <row r="446" spans="1:26" ht="18.75" hidden="1">
      <c r="A446" s="1441"/>
      <c r="B446" s="1446"/>
      <c r="C446" s="1442"/>
      <c r="D446" s="1443"/>
      <c r="E446" s="1442" t="s">
        <v>186</v>
      </c>
      <c r="F446" s="1442"/>
      <c r="G446" s="1444"/>
      <c r="H446" s="1081" t="s">
        <v>12</v>
      </c>
      <c r="I446" s="956"/>
      <c r="J446" s="956"/>
      <c r="K446" s="957"/>
      <c r="L446" s="957">
        <f t="shared" ca="1" si="200"/>
        <v>0</v>
      </c>
      <c r="M446" s="957">
        <f t="shared" si="200"/>
        <v>0</v>
      </c>
      <c r="N446" s="957">
        <f t="shared" si="200"/>
        <v>0</v>
      </c>
      <c r="O446" s="957">
        <f t="shared" ca="1" si="198"/>
        <v>0</v>
      </c>
      <c r="P446" s="957">
        <f t="shared" si="199"/>
        <v>0</v>
      </c>
      <c r="Q446" s="1445"/>
      <c r="R446" s="1445"/>
      <c r="S446" s="1445"/>
      <c r="T446" s="1445"/>
      <c r="U446" s="1445"/>
      <c r="V446" s="1445"/>
      <c r="W446" s="1445"/>
      <c r="X446" s="1445"/>
      <c r="Y446" s="1445"/>
      <c r="Z446" s="1445"/>
    </row>
    <row r="447" spans="1:26" ht="18.75" hidden="1">
      <c r="A447" s="1438"/>
      <c r="B447" s="1417"/>
      <c r="C447" s="1418"/>
      <c r="D447" s="1447" t="s">
        <v>20</v>
      </c>
      <c r="E447" s="1418"/>
      <c r="F447" s="1418"/>
      <c r="G447" s="1103"/>
      <c r="H447" s="1077" t="s">
        <v>12</v>
      </c>
      <c r="I447" s="1078"/>
      <c r="J447" s="1078"/>
      <c r="K447" s="1079"/>
      <c r="L447" s="950">
        <f t="shared" ref="L447:N447" ca="1" si="201">L448+L449</f>
        <v>0</v>
      </c>
      <c r="M447" s="950">
        <f t="shared" si="201"/>
        <v>0</v>
      </c>
      <c r="N447" s="950">
        <f t="shared" si="201"/>
        <v>0</v>
      </c>
      <c r="O447" s="950">
        <f t="shared" ca="1" si="198"/>
        <v>0</v>
      </c>
      <c r="P447" s="950">
        <f t="shared" si="199"/>
        <v>0</v>
      </c>
      <c r="Q447" s="1419"/>
      <c r="R447" s="1419"/>
      <c r="S447" s="1419"/>
      <c r="T447" s="1419"/>
      <c r="U447" s="1419"/>
      <c r="V447" s="1419"/>
      <c r="W447" s="1419"/>
      <c r="X447" s="1419"/>
      <c r="Y447" s="1419"/>
      <c r="Z447" s="1419"/>
    </row>
    <row r="448" spans="1:26" ht="18.75" hidden="1">
      <c r="A448" s="1441"/>
      <c r="B448" s="1446"/>
      <c r="C448" s="1442"/>
      <c r="D448" s="1443"/>
      <c r="E448" s="1442" t="s">
        <v>185</v>
      </c>
      <c r="F448" s="1442"/>
      <c r="G448" s="1444"/>
      <c r="H448" s="1081" t="s">
        <v>12</v>
      </c>
      <c r="I448" s="956"/>
      <c r="J448" s="956"/>
      <c r="K448" s="957"/>
      <c r="L448" s="957">
        <v>0</v>
      </c>
      <c r="M448" s="957">
        <v>0</v>
      </c>
      <c r="N448" s="957">
        <v>0</v>
      </c>
      <c r="O448" s="957">
        <f t="shared" si="198"/>
        <v>0</v>
      </c>
      <c r="P448" s="957">
        <f t="shared" si="199"/>
        <v>0</v>
      </c>
      <c r="Q448" s="1445"/>
      <c r="R448" s="1445"/>
      <c r="S448" s="1445"/>
      <c r="T448" s="1445"/>
      <c r="U448" s="1445"/>
      <c r="V448" s="1445"/>
      <c r="W448" s="1445"/>
      <c r="X448" s="1445"/>
      <c r="Y448" s="1445"/>
      <c r="Z448" s="1445"/>
    </row>
    <row r="449" spans="1:26" ht="18.75" hidden="1">
      <c r="A449" s="1441"/>
      <c r="B449" s="1446"/>
      <c r="C449" s="1442"/>
      <c r="D449" s="1443"/>
      <c r="E449" s="1442" t="s">
        <v>186</v>
      </c>
      <c r="F449" s="1442"/>
      <c r="G449" s="1444"/>
      <c r="H449" s="1081" t="s">
        <v>12</v>
      </c>
      <c r="I449" s="956"/>
      <c r="J449" s="956"/>
      <c r="K449" s="957"/>
      <c r="L449" s="957">
        <f ca="1">IFERROR(__xludf.DUMMYFUNCTION("IMPORTRANGE(""https://docs.google.com/spreadsheets/d/1QqKyyYR6Q21VydFLVH3TRQUabQu_ym0Zz7PgGX0-kHA/edit?usp=sharing"",""แผน!FJ62"")"),0)</f>
        <v>0</v>
      </c>
      <c r="M449" s="957">
        <v>0</v>
      </c>
      <c r="N449" s="957">
        <f>N450+N451+N452+N453</f>
        <v>0</v>
      </c>
      <c r="O449" s="957">
        <f t="shared" ca="1" si="198"/>
        <v>0</v>
      </c>
      <c r="P449" s="957">
        <f t="shared" si="199"/>
        <v>0</v>
      </c>
      <c r="Q449" s="1445"/>
      <c r="R449" s="1445"/>
      <c r="S449" s="1445"/>
      <c r="T449" s="1445"/>
      <c r="U449" s="1445"/>
      <c r="V449" s="1445"/>
      <c r="W449" s="1445"/>
      <c r="X449" s="1445"/>
      <c r="Y449" s="1445"/>
      <c r="Z449" s="1445"/>
    </row>
    <row r="450" spans="1:26" ht="18.75" hidden="1">
      <c r="A450" s="1416"/>
      <c r="B450" s="1417"/>
      <c r="C450" s="1418"/>
      <c r="D450" s="1418"/>
      <c r="E450" s="1418"/>
      <c r="F450" s="1418" t="s">
        <v>187</v>
      </c>
      <c r="G450" s="1103"/>
      <c r="H450" s="1077" t="s">
        <v>12</v>
      </c>
      <c r="I450" s="949"/>
      <c r="J450" s="949"/>
      <c r="K450" s="950"/>
      <c r="L450" s="950"/>
      <c r="M450" s="950"/>
      <c r="N450" s="1186">
        <v>0</v>
      </c>
      <c r="O450" s="950"/>
      <c r="P450" s="950"/>
      <c r="Q450" s="1419"/>
      <c r="R450" s="1419"/>
      <c r="S450" s="1419"/>
      <c r="T450" s="1419"/>
      <c r="U450" s="1419"/>
      <c r="V450" s="1419"/>
      <c r="W450" s="1419"/>
      <c r="X450" s="1419"/>
      <c r="Y450" s="1419"/>
      <c r="Z450" s="1419"/>
    </row>
    <row r="451" spans="1:26" ht="18.75" hidden="1">
      <c r="A451" s="1416"/>
      <c r="B451" s="1417"/>
      <c r="C451" s="1418"/>
      <c r="D451" s="1418"/>
      <c r="E451" s="1418"/>
      <c r="F451" s="1418" t="s">
        <v>188</v>
      </c>
      <c r="G451" s="1103"/>
      <c r="H451" s="1077" t="s">
        <v>12</v>
      </c>
      <c r="I451" s="949"/>
      <c r="J451" s="949"/>
      <c r="K451" s="950"/>
      <c r="L451" s="950"/>
      <c r="M451" s="950"/>
      <c r="N451" s="1186">
        <v>0</v>
      </c>
      <c r="O451" s="950"/>
      <c r="P451" s="950"/>
      <c r="Q451" s="1419"/>
      <c r="R451" s="1419"/>
      <c r="S451" s="1419"/>
      <c r="T451" s="1419"/>
      <c r="U451" s="1419"/>
      <c r="V451" s="1419"/>
      <c r="W451" s="1419"/>
      <c r="X451" s="1419"/>
      <c r="Y451" s="1419"/>
      <c r="Z451" s="1419"/>
    </row>
    <row r="452" spans="1:26" ht="18.75" hidden="1">
      <c r="A452" s="1416"/>
      <c r="B452" s="1417"/>
      <c r="C452" s="1417"/>
      <c r="D452" s="1417"/>
      <c r="E452" s="1417"/>
      <c r="F452" s="1418" t="s">
        <v>189</v>
      </c>
      <c r="G452" s="1103"/>
      <c r="H452" s="1077" t="s">
        <v>12</v>
      </c>
      <c r="I452" s="949"/>
      <c r="J452" s="949"/>
      <c r="K452" s="950"/>
      <c r="L452" s="950"/>
      <c r="M452" s="950"/>
      <c r="N452" s="1186">
        <v>0</v>
      </c>
      <c r="O452" s="950"/>
      <c r="P452" s="950"/>
      <c r="Q452" s="1419"/>
      <c r="R452" s="1419"/>
      <c r="S452" s="1419"/>
      <c r="T452" s="1419"/>
      <c r="U452" s="1419"/>
      <c r="V452" s="1419"/>
      <c r="W452" s="1419"/>
      <c r="X452" s="1419"/>
      <c r="Y452" s="1419"/>
      <c r="Z452" s="1419"/>
    </row>
    <row r="453" spans="1:26" ht="18.75" hidden="1">
      <c r="A453" s="1416"/>
      <c r="B453" s="1417"/>
      <c r="C453" s="1417"/>
      <c r="D453" s="1417"/>
      <c r="E453" s="1417"/>
      <c r="F453" s="1418" t="s">
        <v>190</v>
      </c>
      <c r="G453" s="1103"/>
      <c r="H453" s="1077" t="s">
        <v>12</v>
      </c>
      <c r="I453" s="949"/>
      <c r="J453" s="949"/>
      <c r="K453" s="950"/>
      <c r="L453" s="950"/>
      <c r="M453" s="950"/>
      <c r="N453" s="1186">
        <v>0</v>
      </c>
      <c r="O453" s="950"/>
      <c r="P453" s="950"/>
      <c r="Q453" s="1419"/>
      <c r="R453" s="1419"/>
      <c r="S453" s="1419"/>
      <c r="T453" s="1419"/>
      <c r="U453" s="1419"/>
      <c r="V453" s="1419"/>
      <c r="W453" s="1419"/>
      <c r="X453" s="1419"/>
      <c r="Y453" s="1419"/>
      <c r="Z453" s="1419"/>
    </row>
    <row r="454" spans="1:26" ht="18.75" hidden="1">
      <c r="A454" s="1438"/>
      <c r="B454" s="1417"/>
      <c r="C454" s="1417"/>
      <c r="D454" s="1447" t="s">
        <v>21</v>
      </c>
      <c r="E454" s="1417"/>
      <c r="F454" s="1418"/>
      <c r="G454" s="1103"/>
      <c r="H454" s="1084" t="s">
        <v>12</v>
      </c>
      <c r="I454" s="1078"/>
      <c r="J454" s="1078"/>
      <c r="K454" s="1079"/>
      <c r="L454" s="950">
        <f t="shared" ref="L454:N454" ca="1" si="202">L455+L456</f>
        <v>0</v>
      </c>
      <c r="M454" s="950">
        <f t="shared" si="202"/>
        <v>0</v>
      </c>
      <c r="N454" s="950">
        <f t="shared" si="202"/>
        <v>0</v>
      </c>
      <c r="O454" s="950">
        <f t="shared" ref="O454:O456" ca="1" si="203">IF(L454&gt;0,N454*100/L454,0)</f>
        <v>0</v>
      </c>
      <c r="P454" s="950">
        <f t="shared" ref="P454:P456" si="204">IF(M454&gt;0,N454*100/M454,0)</f>
        <v>0</v>
      </c>
      <c r="Q454" s="1419"/>
      <c r="R454" s="1419"/>
      <c r="S454" s="1419"/>
      <c r="T454" s="1419"/>
      <c r="U454" s="1419"/>
      <c r="V454" s="1419"/>
      <c r="W454" s="1419"/>
      <c r="X454" s="1419"/>
      <c r="Y454" s="1419"/>
      <c r="Z454" s="1419"/>
    </row>
    <row r="455" spans="1:26" ht="18.75" hidden="1">
      <c r="A455" s="1441"/>
      <c r="B455" s="1446"/>
      <c r="C455" s="1446"/>
      <c r="D455" s="1446"/>
      <c r="E455" s="1446" t="s">
        <v>18</v>
      </c>
      <c r="F455" s="1442"/>
      <c r="G455" s="1444"/>
      <c r="H455" s="1081" t="s">
        <v>12</v>
      </c>
      <c r="I455" s="1082"/>
      <c r="J455" s="1082"/>
      <c r="K455" s="1083"/>
      <c r="L455" s="957">
        <v>0</v>
      </c>
      <c r="M455" s="957">
        <v>0</v>
      </c>
      <c r="N455" s="957">
        <v>0</v>
      </c>
      <c r="O455" s="957">
        <f t="shared" si="203"/>
        <v>0</v>
      </c>
      <c r="P455" s="957">
        <f t="shared" si="204"/>
        <v>0</v>
      </c>
      <c r="Q455" s="1445"/>
      <c r="R455" s="1445"/>
      <c r="S455" s="1445"/>
      <c r="T455" s="1445"/>
      <c r="U455" s="1445"/>
      <c r="V455" s="1445"/>
      <c r="W455" s="1445"/>
      <c r="X455" s="1445"/>
      <c r="Y455" s="1445"/>
      <c r="Z455" s="1445"/>
    </row>
    <row r="456" spans="1:26" ht="18.75" hidden="1">
      <c r="A456" s="1441"/>
      <c r="B456" s="1446"/>
      <c r="C456" s="1446"/>
      <c r="D456" s="1446"/>
      <c r="E456" s="1446" t="s">
        <v>19</v>
      </c>
      <c r="F456" s="1442"/>
      <c r="G456" s="1444"/>
      <c r="H456" s="1085" t="s">
        <v>12</v>
      </c>
      <c r="I456" s="1082"/>
      <c r="J456" s="1082"/>
      <c r="K456" s="1083"/>
      <c r="L456" s="957">
        <f ca="1">IFERROR(__xludf.DUMMYFUNCTION("IMPORTRANGE(""https://docs.google.com/spreadsheets/d/1QqKyyYR6Q21VydFLVH3TRQUabQu_ym0Zz7PgGX0-kHA/edit?usp=sharing"",""แผน!FM62"")"),0)</f>
        <v>0</v>
      </c>
      <c r="M456" s="957">
        <v>0</v>
      </c>
      <c r="N456" s="957">
        <v>0</v>
      </c>
      <c r="O456" s="957">
        <f t="shared" ca="1" si="203"/>
        <v>0</v>
      </c>
      <c r="P456" s="957">
        <f t="shared" si="204"/>
        <v>0</v>
      </c>
      <c r="Q456" s="1445"/>
      <c r="R456" s="1445"/>
      <c r="S456" s="1445"/>
      <c r="T456" s="1445"/>
      <c r="U456" s="1445"/>
      <c r="V456" s="1445"/>
      <c r="W456" s="1445"/>
      <c r="X456" s="1445"/>
      <c r="Y456" s="1445"/>
      <c r="Z456" s="1445"/>
    </row>
    <row r="457" spans="1:26" ht="19.5" hidden="1">
      <c r="A457" s="1448"/>
      <c r="B457" s="1449"/>
      <c r="C457" s="1417" t="s">
        <v>16</v>
      </c>
      <c r="D457" s="1450" t="s">
        <v>38</v>
      </c>
      <c r="E457" s="1451"/>
      <c r="F457" s="1452"/>
      <c r="G457" s="1453"/>
      <c r="H457" s="1091"/>
      <c r="I457" s="949"/>
      <c r="J457" s="949"/>
      <c r="K457" s="950"/>
      <c r="L457" s="950"/>
      <c r="M457" s="950"/>
      <c r="N457" s="950"/>
      <c r="O457" s="950"/>
      <c r="P457" s="950"/>
      <c r="Q457" s="1419"/>
      <c r="R457" s="1419"/>
      <c r="S457" s="1419"/>
      <c r="T457" s="1419"/>
      <c r="U457" s="1419"/>
      <c r="V457" s="1419"/>
      <c r="W457" s="1419"/>
      <c r="X457" s="1419"/>
      <c r="Y457" s="1419"/>
      <c r="Z457" s="1419"/>
    </row>
    <row r="458" spans="1:26" ht="18.75" hidden="1">
      <c r="A458" s="1454"/>
      <c r="B458" s="1455"/>
      <c r="C458" s="1455"/>
      <c r="D458" s="1455" t="s">
        <v>201</v>
      </c>
      <c r="E458" s="1455"/>
      <c r="F458" s="1443"/>
      <c r="G458" s="1216"/>
      <c r="H458" s="1219" t="s">
        <v>35</v>
      </c>
      <c r="I458" s="956">
        <v>0</v>
      </c>
      <c r="J458" s="956">
        <v>0</v>
      </c>
      <c r="K458" s="957">
        <f>IF(I458&gt;0,J458*100/I458,0)</f>
        <v>0</v>
      </c>
      <c r="L458" s="957"/>
      <c r="M458" s="957"/>
      <c r="N458" s="957"/>
      <c r="O458" s="957"/>
      <c r="P458" s="957"/>
      <c r="Q458" s="1445"/>
      <c r="R458" s="1445"/>
      <c r="S458" s="1445"/>
      <c r="T458" s="1445"/>
      <c r="U458" s="1445"/>
      <c r="V458" s="1445"/>
      <c r="W458" s="1445"/>
      <c r="X458" s="1445"/>
      <c r="Y458" s="1445"/>
      <c r="Z458" s="1445"/>
    </row>
    <row r="459" spans="1:26" ht="18.75" hidden="1">
      <c r="A459" s="1454"/>
      <c r="B459" s="1455"/>
      <c r="C459" s="1455"/>
      <c r="D459" s="1455" t="s">
        <v>202</v>
      </c>
      <c r="E459" s="1455"/>
      <c r="F459" s="1443"/>
      <c r="G459" s="1216"/>
      <c r="H459" s="1219"/>
      <c r="I459" s="956"/>
      <c r="J459" s="956"/>
      <c r="K459" s="957"/>
      <c r="L459" s="957"/>
      <c r="M459" s="957"/>
      <c r="N459" s="957"/>
      <c r="O459" s="957"/>
      <c r="P459" s="957"/>
      <c r="Q459" s="1445"/>
      <c r="R459" s="1445"/>
      <c r="S459" s="1445"/>
      <c r="T459" s="1445"/>
      <c r="U459" s="1445"/>
      <c r="V459" s="1445"/>
      <c r="W459" s="1445"/>
      <c r="X459" s="1445"/>
      <c r="Y459" s="1445"/>
      <c r="Z459" s="1445"/>
    </row>
    <row r="460" spans="1:26" ht="18.75" hidden="1">
      <c r="A460" s="1448"/>
      <c r="B460" s="1449"/>
      <c r="C460" s="1449"/>
      <c r="D460" s="1449" t="s">
        <v>203</v>
      </c>
      <c r="E460" s="1449"/>
      <c r="F460" s="1101"/>
      <c r="G460" s="1091"/>
      <c r="H460" s="1097" t="s">
        <v>35</v>
      </c>
      <c r="I460" s="949">
        <f ca="1">IFERROR(__xludf.DUMMYFUNCTION("IMPORTRANGE(""https://docs.google.com/spreadsheets/d/1QqKyyYR6Q21VydFLVH3TRQUabQu_ym0Zz7PgGX0-kHA/edit?usp=sharing"",""แผน!FN62"")"),0)</f>
        <v>0</v>
      </c>
      <c r="J460" s="1098">
        <v>0</v>
      </c>
      <c r="K460" s="950">
        <f ca="1">IF(I460&gt;0,J460*100/I460,0)</f>
        <v>0</v>
      </c>
      <c r="L460" s="950"/>
      <c r="M460" s="950"/>
      <c r="N460" s="950"/>
      <c r="O460" s="950"/>
      <c r="P460" s="950"/>
      <c r="Q460" s="1419"/>
      <c r="R460" s="1419"/>
      <c r="S460" s="1419"/>
      <c r="T460" s="1419"/>
      <c r="U460" s="1419"/>
      <c r="V460" s="1419"/>
      <c r="W460" s="1419"/>
      <c r="X460" s="1419"/>
      <c r="Y460" s="1419"/>
      <c r="Z460" s="1419"/>
    </row>
    <row r="461" spans="1:26" ht="18.75" hidden="1">
      <c r="A461" s="1448"/>
      <c r="B461" s="1449"/>
      <c r="C461" s="1449"/>
      <c r="D461" s="1449" t="s">
        <v>204</v>
      </c>
      <c r="E461" s="1101"/>
      <c r="F461" s="1101"/>
      <c r="G461" s="1091"/>
      <c r="H461" s="1097"/>
      <c r="I461" s="949"/>
      <c r="J461" s="949"/>
      <c r="K461" s="950"/>
      <c r="L461" s="950"/>
      <c r="M461" s="950"/>
      <c r="N461" s="950"/>
      <c r="O461" s="950"/>
      <c r="P461" s="950"/>
      <c r="Q461" s="1419"/>
      <c r="R461" s="1419"/>
      <c r="S461" s="1419"/>
      <c r="T461" s="1419"/>
      <c r="U461" s="1419"/>
      <c r="V461" s="1419"/>
      <c r="W461" s="1419"/>
      <c r="X461" s="1419"/>
      <c r="Y461" s="1419"/>
      <c r="Z461" s="1419"/>
    </row>
    <row r="462" spans="1:26" ht="18.75" hidden="1">
      <c r="A462" s="1448"/>
      <c r="B462" s="1449"/>
      <c r="C462" s="1449"/>
      <c r="D462" s="1449" t="s">
        <v>205</v>
      </c>
      <c r="E462" s="1101"/>
      <c r="F462" s="1101"/>
      <c r="G462" s="1091"/>
      <c r="H462" s="1097" t="s">
        <v>46</v>
      </c>
      <c r="I462" s="949">
        <f ca="1">IFERROR(__xludf.DUMMYFUNCTION("IMPORTRANGE(""https://docs.google.com/spreadsheets/d/1QqKyyYR6Q21VydFLVH3TRQUabQu_ym0Zz7PgGX0-kHA/edit?usp=sharing"",""แผน!FO62"")"),0)</f>
        <v>0</v>
      </c>
      <c r="J462" s="1098">
        <v>0</v>
      </c>
      <c r="K462" s="950">
        <f ca="1">IF(I462&gt;0,J462*100/I462,0)</f>
        <v>0</v>
      </c>
      <c r="L462" s="950"/>
      <c r="M462" s="950"/>
      <c r="N462" s="950"/>
      <c r="O462" s="950"/>
      <c r="P462" s="950"/>
      <c r="Q462" s="1419"/>
      <c r="R462" s="1419"/>
      <c r="S462" s="1419"/>
      <c r="T462" s="1419"/>
      <c r="U462" s="1419"/>
      <c r="V462" s="1419"/>
      <c r="W462" s="1419"/>
      <c r="X462" s="1419"/>
      <c r="Y462" s="1419"/>
      <c r="Z462" s="1419"/>
    </row>
    <row r="463" spans="1:26" ht="18.75" hidden="1">
      <c r="A463" s="1448"/>
      <c r="B463" s="1449"/>
      <c r="C463" s="1449"/>
      <c r="D463" s="1449" t="s">
        <v>59</v>
      </c>
      <c r="E463" s="1101"/>
      <c r="F463" s="1418"/>
      <c r="G463" s="1103"/>
      <c r="H463" s="1097" t="s">
        <v>46</v>
      </c>
      <c r="I463" s="949">
        <f ca="1">IFERROR(__xludf.DUMMYFUNCTION("IMPORTRANGE(""https://docs.google.com/spreadsheets/d/1QqKyyYR6Q21VydFLVH3TRQUabQu_ym0Zz7PgGX0-kHA/edit?usp=sharing"",""แผน!FO62"")"),0)</f>
        <v>0</v>
      </c>
      <c r="J463" s="1098">
        <v>0</v>
      </c>
      <c r="K463" s="950"/>
      <c r="L463" s="950"/>
      <c r="M463" s="950"/>
      <c r="N463" s="950"/>
      <c r="O463" s="950"/>
      <c r="P463" s="950"/>
      <c r="Q463" s="1419"/>
      <c r="R463" s="1419"/>
      <c r="S463" s="1419"/>
      <c r="T463" s="1419"/>
      <c r="U463" s="1419"/>
      <c r="V463" s="1419"/>
      <c r="W463" s="1419"/>
      <c r="X463" s="1419"/>
      <c r="Y463" s="1419"/>
      <c r="Z463" s="1419"/>
    </row>
    <row r="464" spans="1:26" ht="19.5" hidden="1">
      <c r="A464" s="1448"/>
      <c r="B464" s="1449"/>
      <c r="C464" s="1449"/>
      <c r="D464" s="1449"/>
      <c r="E464" s="1101"/>
      <c r="F464" s="1101"/>
      <c r="G464" s="1456"/>
      <c r="H464" s="1097" t="s">
        <v>35</v>
      </c>
      <c r="I464" s="949">
        <f ca="1">IFERROR(__xludf.DUMMYFUNCTION("IMPORTRANGE(""https://docs.google.com/spreadsheets/d/1QqKyyYR6Q21VydFLVH3TRQUabQu_ym0Zz7PgGX0-kHA/edit?usp=sharing"",""แผน!FN62"")"),0)</f>
        <v>0</v>
      </c>
      <c r="J464" s="1098">
        <v>0</v>
      </c>
      <c r="K464" s="950"/>
      <c r="L464" s="950"/>
      <c r="M464" s="950"/>
      <c r="N464" s="950"/>
      <c r="O464" s="950"/>
      <c r="P464" s="950"/>
      <c r="Q464" s="1419"/>
      <c r="R464" s="1419"/>
      <c r="S464" s="1419"/>
      <c r="T464" s="1419"/>
      <c r="U464" s="1419"/>
      <c r="V464" s="1419"/>
      <c r="W464" s="1419"/>
      <c r="X464" s="1419"/>
      <c r="Y464" s="1419"/>
      <c r="Z464" s="1419"/>
    </row>
    <row r="465" spans="1:26" ht="19.5">
      <c r="A465" s="1426">
        <v>3</v>
      </c>
      <c r="B465" s="1427" t="s">
        <v>206</v>
      </c>
      <c r="C465" s="1428"/>
      <c r="D465" s="1428"/>
      <c r="E465" s="1428"/>
      <c r="F465" s="1428"/>
      <c r="G465" s="1429"/>
      <c r="H465" s="1430" t="s">
        <v>35</v>
      </c>
      <c r="I465" s="1431">
        <f ca="1">IFERROR(__xludf.DUMMYFUNCTION("IMPORTRANGE(""https://docs.google.com/spreadsheets/d/1QqKyyYR6Q21VydFLVH3TRQUabQu_ym0Zz7PgGX0-kHA/edit?usp=sharing"",""แผน!FX62"")"),51)</f>
        <v>51</v>
      </c>
      <c r="J465" s="1431">
        <f>J485+J489+J492</f>
        <v>51</v>
      </c>
      <c r="K465" s="1432">
        <f t="shared" ref="K465:K466" ca="1" si="205">IF(I465&gt;0,J465*100/I465,0)</f>
        <v>100</v>
      </c>
      <c r="L465" s="1433"/>
      <c r="M465" s="1433"/>
      <c r="N465" s="1433"/>
      <c r="O465" s="1433"/>
      <c r="P465" s="1433"/>
      <c r="Q465" s="1419"/>
      <c r="R465" s="1419"/>
      <c r="S465" s="1419"/>
      <c r="T465" s="1419"/>
      <c r="U465" s="1419"/>
      <c r="V465" s="1419"/>
      <c r="W465" s="1419"/>
      <c r="X465" s="1419"/>
      <c r="Y465" s="1419"/>
      <c r="Z465" s="1419"/>
    </row>
    <row r="466" spans="1:26" ht="19.5">
      <c r="A466" s="1434"/>
      <c r="B466" s="1435"/>
      <c r="C466" s="1436"/>
      <c r="D466" s="1436"/>
      <c r="E466" s="1436"/>
      <c r="F466" s="1436"/>
      <c r="G466" s="1437"/>
      <c r="H466" s="1409" t="s">
        <v>46</v>
      </c>
      <c r="I466" s="1410">
        <f ca="1">IFERROR(__xludf.DUMMYFUNCTION("IMPORTRANGE(""https://docs.google.com/spreadsheets/d/1QqKyyYR6Q21VydFLVH3TRQUabQu_ym0Zz7PgGX0-kHA/edit?usp=sharing"",""แผน!FW62"")"),500)</f>
        <v>500</v>
      </c>
      <c r="J466" s="1410">
        <f>J495+J498</f>
        <v>500</v>
      </c>
      <c r="K466" s="1411">
        <f t="shared" ca="1" si="205"/>
        <v>100</v>
      </c>
      <c r="L466" s="1412"/>
      <c r="M466" s="1412"/>
      <c r="N466" s="1412"/>
      <c r="O466" s="1412"/>
      <c r="P466" s="1412"/>
      <c r="Q466" s="1419"/>
      <c r="R466" s="1419"/>
      <c r="S466" s="1419"/>
      <c r="T466" s="1419"/>
      <c r="U466" s="1419"/>
      <c r="V466" s="1419"/>
      <c r="W466" s="1419"/>
      <c r="X466" s="1419"/>
      <c r="Y466" s="1419"/>
      <c r="Z466" s="1419"/>
    </row>
    <row r="467" spans="1:26" ht="19.5">
      <c r="A467" s="1438"/>
      <c r="B467" s="1418"/>
      <c r="C467" s="1418" t="s">
        <v>16</v>
      </c>
      <c r="D467" s="1439" t="s">
        <v>17</v>
      </c>
      <c r="E467" s="987"/>
      <c r="F467" s="987"/>
      <c r="G467" s="1103"/>
      <c r="H467" s="1440" t="s">
        <v>12</v>
      </c>
      <c r="I467" s="949"/>
      <c r="J467" s="949"/>
      <c r="K467" s="950"/>
      <c r="L467" s="1108">
        <f t="shared" ref="L467:N467" ca="1" si="206">L468+L469</f>
        <v>410533</v>
      </c>
      <c r="M467" s="1108">
        <f t="shared" ca="1" si="206"/>
        <v>410533</v>
      </c>
      <c r="N467" s="1108">
        <f t="shared" si="206"/>
        <v>91700</v>
      </c>
      <c r="O467" s="1108">
        <f t="shared" ref="O467:O472" ca="1" si="207">IF(L467&gt;0,N467*100/L467,0)</f>
        <v>22.336815797999186</v>
      </c>
      <c r="P467" s="1108">
        <f t="shared" ref="P467:P472" ca="1" si="208">IF(M467&gt;0,N467*100/M467,0)</f>
        <v>22.336815797999186</v>
      </c>
      <c r="Q467" s="1419"/>
      <c r="R467" s="1419"/>
      <c r="S467" s="1419"/>
      <c r="T467" s="1419"/>
      <c r="U467" s="1419"/>
      <c r="V467" s="1419"/>
      <c r="W467" s="1419"/>
      <c r="X467" s="1419"/>
      <c r="Y467" s="1419"/>
      <c r="Z467" s="1419"/>
    </row>
    <row r="468" spans="1:26" ht="18.75" hidden="1">
      <c r="A468" s="1441"/>
      <c r="B468" s="1442"/>
      <c r="C468" s="1442"/>
      <c r="D468" s="1443"/>
      <c r="E468" s="1442" t="s">
        <v>185</v>
      </c>
      <c r="F468" s="1442"/>
      <c r="G468" s="1444"/>
      <c r="H468" s="1081" t="s">
        <v>12</v>
      </c>
      <c r="I468" s="956"/>
      <c r="J468" s="956"/>
      <c r="K468" s="957"/>
      <c r="L468" s="957">
        <f t="shared" ref="L468:N469" si="209">L471+L478</f>
        <v>0</v>
      </c>
      <c r="M468" s="957">
        <f t="shared" si="209"/>
        <v>0</v>
      </c>
      <c r="N468" s="957">
        <f t="shared" si="209"/>
        <v>0</v>
      </c>
      <c r="O468" s="957">
        <f t="shared" si="207"/>
        <v>0</v>
      </c>
      <c r="P468" s="957">
        <f t="shared" si="208"/>
        <v>0</v>
      </c>
      <c r="Q468" s="1445"/>
      <c r="R468" s="1445"/>
      <c r="S468" s="1445"/>
      <c r="T468" s="1445"/>
      <c r="U468" s="1445"/>
      <c r="V468" s="1445"/>
      <c r="W468" s="1445"/>
      <c r="X468" s="1445"/>
      <c r="Y468" s="1445"/>
      <c r="Z468" s="1445"/>
    </row>
    <row r="469" spans="1:26" ht="18.75" hidden="1">
      <c r="A469" s="1441"/>
      <c r="B469" s="1446"/>
      <c r="C469" s="1442"/>
      <c r="D469" s="1443"/>
      <c r="E469" s="1442" t="s">
        <v>186</v>
      </c>
      <c r="F469" s="1442"/>
      <c r="G469" s="1444"/>
      <c r="H469" s="1081" t="s">
        <v>12</v>
      </c>
      <c r="I469" s="956"/>
      <c r="J469" s="956"/>
      <c r="K469" s="957"/>
      <c r="L469" s="957">
        <f t="shared" ca="1" si="209"/>
        <v>410533</v>
      </c>
      <c r="M469" s="957">
        <f t="shared" ca="1" si="209"/>
        <v>410533</v>
      </c>
      <c r="N469" s="957">
        <f t="shared" si="209"/>
        <v>91700</v>
      </c>
      <c r="O469" s="957">
        <f t="shared" ca="1" si="207"/>
        <v>22.336815797999186</v>
      </c>
      <c r="P469" s="957">
        <f t="shared" ca="1" si="208"/>
        <v>22.336815797999186</v>
      </c>
      <c r="Q469" s="1445"/>
      <c r="R469" s="1445"/>
      <c r="S469" s="1445"/>
      <c r="T469" s="1445"/>
      <c r="U469" s="1445"/>
      <c r="V469" s="1445"/>
      <c r="W469" s="1445"/>
      <c r="X469" s="1445"/>
      <c r="Y469" s="1445"/>
      <c r="Z469" s="1445"/>
    </row>
    <row r="470" spans="1:26" ht="18.75">
      <c r="A470" s="1438"/>
      <c r="B470" s="1417"/>
      <c r="C470" s="1418"/>
      <c r="D470" s="1447" t="s">
        <v>20</v>
      </c>
      <c r="E470" s="1418"/>
      <c r="F470" s="1418"/>
      <c r="G470" s="1103"/>
      <c r="H470" s="1077" t="s">
        <v>12</v>
      </c>
      <c r="I470" s="1078"/>
      <c r="J470" s="1078"/>
      <c r="K470" s="1079"/>
      <c r="L470" s="950">
        <f t="shared" ref="L470:N470" ca="1" si="210">L471+L472</f>
        <v>410533</v>
      </c>
      <c r="M470" s="950">
        <f t="shared" ca="1" si="210"/>
        <v>410533</v>
      </c>
      <c r="N470" s="950">
        <f t="shared" si="210"/>
        <v>91700</v>
      </c>
      <c r="O470" s="950">
        <f t="shared" ca="1" si="207"/>
        <v>22.336815797999186</v>
      </c>
      <c r="P470" s="950">
        <f t="shared" ca="1" si="208"/>
        <v>22.336815797999186</v>
      </c>
      <c r="Q470" s="1419"/>
      <c r="R470" s="1419"/>
      <c r="S470" s="1419"/>
      <c r="T470" s="1419"/>
      <c r="U470" s="1419"/>
      <c r="V470" s="1419"/>
      <c r="W470" s="1419"/>
      <c r="X470" s="1419"/>
      <c r="Y470" s="1419"/>
      <c r="Z470" s="1419"/>
    </row>
    <row r="471" spans="1:26" ht="18.75" hidden="1">
      <c r="A471" s="1441"/>
      <c r="B471" s="1446"/>
      <c r="C471" s="1442"/>
      <c r="D471" s="1443"/>
      <c r="E471" s="1442" t="s">
        <v>185</v>
      </c>
      <c r="F471" s="1442"/>
      <c r="G471" s="1444"/>
      <c r="H471" s="1081" t="s">
        <v>12</v>
      </c>
      <c r="I471" s="956"/>
      <c r="J471" s="956"/>
      <c r="K471" s="957"/>
      <c r="L471" s="957">
        <v>0</v>
      </c>
      <c r="M471" s="957">
        <v>0</v>
      </c>
      <c r="N471" s="957">
        <v>0</v>
      </c>
      <c r="O471" s="957">
        <f t="shared" si="207"/>
        <v>0</v>
      </c>
      <c r="P471" s="957">
        <f t="shared" si="208"/>
        <v>0</v>
      </c>
      <c r="Q471" s="1445"/>
      <c r="R471" s="1445"/>
      <c r="S471" s="1445"/>
      <c r="T471" s="1445"/>
      <c r="U471" s="1445"/>
      <c r="V471" s="1445"/>
      <c r="W471" s="1445"/>
      <c r="X471" s="1445"/>
      <c r="Y471" s="1445"/>
      <c r="Z471" s="1445"/>
    </row>
    <row r="472" spans="1:26" ht="18.75" hidden="1">
      <c r="A472" s="1441"/>
      <c r="B472" s="1446"/>
      <c r="C472" s="1442"/>
      <c r="D472" s="1443"/>
      <c r="E472" s="1442" t="s">
        <v>186</v>
      </c>
      <c r="F472" s="1442"/>
      <c r="G472" s="1444"/>
      <c r="H472" s="1081" t="s">
        <v>12</v>
      </c>
      <c r="I472" s="956"/>
      <c r="J472" s="956"/>
      <c r="K472" s="957"/>
      <c r="L472" s="957">
        <f ca="1">IFERROR(__xludf.DUMMYFUNCTION("IMPORTRANGE(""https://docs.google.com/spreadsheets/d/1QqKyyYR6Q21VydFLVH3TRQUabQu_ym0Zz7PgGX0-kHA/edit?usp=sharing"",""แผน!FS62"")"),410533)</f>
        <v>410533</v>
      </c>
      <c r="M472" s="957">
        <f ca="1">L472</f>
        <v>410533</v>
      </c>
      <c r="N472" s="957">
        <f>N473+N474+N475+N476</f>
        <v>91700</v>
      </c>
      <c r="O472" s="957">
        <f t="shared" ca="1" si="207"/>
        <v>22.336815797999186</v>
      </c>
      <c r="P472" s="957">
        <f t="shared" ca="1" si="208"/>
        <v>22.336815797999186</v>
      </c>
      <c r="Q472" s="1445"/>
      <c r="R472" s="1445"/>
      <c r="S472" s="1445"/>
      <c r="T472" s="1445"/>
      <c r="U472" s="1445"/>
      <c r="V472" s="1445"/>
      <c r="W472" s="1445"/>
      <c r="X472" s="1445"/>
      <c r="Y472" s="1445"/>
      <c r="Z472" s="1445"/>
    </row>
    <row r="473" spans="1:26" ht="18.75">
      <c r="A473" s="1416"/>
      <c r="B473" s="1417"/>
      <c r="C473" s="1418"/>
      <c r="D473" s="1418"/>
      <c r="E473" s="1418"/>
      <c r="F473" s="1418" t="s">
        <v>187</v>
      </c>
      <c r="G473" s="1103"/>
      <c r="H473" s="1077" t="s">
        <v>12</v>
      </c>
      <c r="I473" s="949"/>
      <c r="J473" s="949"/>
      <c r="K473" s="950"/>
      <c r="L473" s="950"/>
      <c r="M473" s="950"/>
      <c r="N473" s="1186">
        <f>6550+62320+20340-4180</f>
        <v>85030</v>
      </c>
      <c r="O473" s="950"/>
      <c r="P473" s="950"/>
      <c r="Q473" s="1419"/>
      <c r="R473" s="1419"/>
      <c r="S473" s="1419"/>
      <c r="T473" s="1419"/>
      <c r="U473" s="1419"/>
      <c r="V473" s="1419"/>
      <c r="W473" s="1419"/>
      <c r="X473" s="1419"/>
      <c r="Y473" s="1419"/>
      <c r="Z473" s="1419"/>
    </row>
    <row r="474" spans="1:26" ht="18.75">
      <c r="A474" s="1416"/>
      <c r="B474" s="1417"/>
      <c r="C474" s="1418"/>
      <c r="D474" s="1418"/>
      <c r="E474" s="1418"/>
      <c r="F474" s="1418" t="s">
        <v>188</v>
      </c>
      <c r="G474" s="1103"/>
      <c r="H474" s="1077" t="s">
        <v>12</v>
      </c>
      <c r="I474" s="949"/>
      <c r="J474" s="949"/>
      <c r="K474" s="950"/>
      <c r="L474" s="950"/>
      <c r="M474" s="950"/>
      <c r="N474" s="1186">
        <v>0</v>
      </c>
      <c r="O474" s="950"/>
      <c r="P474" s="950"/>
      <c r="Q474" s="1419"/>
      <c r="R474" s="1419"/>
      <c r="S474" s="1419"/>
      <c r="T474" s="1419"/>
      <c r="U474" s="1419"/>
      <c r="V474" s="1419"/>
      <c r="W474" s="1419"/>
      <c r="X474" s="1419"/>
      <c r="Y474" s="1419"/>
      <c r="Z474" s="1419"/>
    </row>
    <row r="475" spans="1:26" ht="18.75">
      <c r="A475" s="1416"/>
      <c r="B475" s="1417"/>
      <c r="C475" s="1417"/>
      <c r="D475" s="1417"/>
      <c r="E475" s="1417"/>
      <c r="F475" s="1418" t="s">
        <v>189</v>
      </c>
      <c r="G475" s="1103"/>
      <c r="H475" s="1077" t="s">
        <v>12</v>
      </c>
      <c r="I475" s="949"/>
      <c r="J475" s="949"/>
      <c r="K475" s="950"/>
      <c r="L475" s="950"/>
      <c r="M475" s="950"/>
      <c r="N475" s="1186">
        <f>2400+300</f>
        <v>2700</v>
      </c>
      <c r="O475" s="950"/>
      <c r="P475" s="950"/>
      <c r="Q475" s="1419"/>
      <c r="R475" s="1419"/>
      <c r="S475" s="1419"/>
      <c r="T475" s="1419"/>
      <c r="U475" s="1419"/>
      <c r="V475" s="1419"/>
      <c r="W475" s="1419"/>
      <c r="X475" s="1419"/>
      <c r="Y475" s="1419"/>
      <c r="Z475" s="1419"/>
    </row>
    <row r="476" spans="1:26" ht="18.75">
      <c r="A476" s="1416"/>
      <c r="B476" s="1417"/>
      <c r="C476" s="1417"/>
      <c r="D476" s="1417"/>
      <c r="E476" s="1417"/>
      <c r="F476" s="1418" t="s">
        <v>190</v>
      </c>
      <c r="G476" s="1103"/>
      <c r="H476" s="1077" t="s">
        <v>12</v>
      </c>
      <c r="I476" s="949"/>
      <c r="J476" s="949"/>
      <c r="K476" s="950"/>
      <c r="L476" s="950"/>
      <c r="M476" s="950"/>
      <c r="N476" s="1186">
        <v>3970</v>
      </c>
      <c r="O476" s="950"/>
      <c r="P476" s="950"/>
      <c r="Q476" s="1419"/>
      <c r="R476" s="1419"/>
      <c r="S476" s="1419"/>
      <c r="T476" s="1419"/>
      <c r="U476" s="1419"/>
      <c r="V476" s="1419"/>
      <c r="W476" s="1419"/>
      <c r="X476" s="1419"/>
      <c r="Y476" s="1419"/>
      <c r="Z476" s="1419"/>
    </row>
    <row r="477" spans="1:26" ht="18.75">
      <c r="A477" s="1438"/>
      <c r="B477" s="1417"/>
      <c r="C477" s="1417"/>
      <c r="D477" s="1447" t="s">
        <v>21</v>
      </c>
      <c r="E477" s="1417"/>
      <c r="F477" s="1417"/>
      <c r="G477" s="1103"/>
      <c r="H477" s="1084" t="s">
        <v>12</v>
      </c>
      <c r="I477" s="1078"/>
      <c r="J477" s="1078"/>
      <c r="K477" s="1079"/>
      <c r="L477" s="950">
        <f t="shared" ref="L477:N477" ca="1" si="211">L478+L479</f>
        <v>0</v>
      </c>
      <c r="M477" s="950">
        <f t="shared" si="211"/>
        <v>0</v>
      </c>
      <c r="N477" s="950">
        <f t="shared" si="211"/>
        <v>0</v>
      </c>
      <c r="O477" s="950">
        <f t="shared" ref="O477:O479" ca="1" si="212">IF(L477&gt;0,N477*100/L477,0)</f>
        <v>0</v>
      </c>
      <c r="P477" s="950">
        <f t="shared" ref="P477:P479" si="213">IF(M477&gt;0,N477*100/M477,0)</f>
        <v>0</v>
      </c>
      <c r="Q477" s="1419"/>
      <c r="R477" s="1419"/>
      <c r="S477" s="1419"/>
      <c r="T477" s="1419"/>
      <c r="U477" s="1419"/>
      <c r="V477" s="1419"/>
      <c r="W477" s="1419"/>
      <c r="X477" s="1419"/>
      <c r="Y477" s="1419"/>
      <c r="Z477" s="1419"/>
    </row>
    <row r="478" spans="1:26" ht="18.75" hidden="1">
      <c r="A478" s="1441"/>
      <c r="B478" s="1446"/>
      <c r="C478" s="1446"/>
      <c r="D478" s="1446"/>
      <c r="E478" s="1446" t="s">
        <v>18</v>
      </c>
      <c r="F478" s="1446"/>
      <c r="G478" s="1444"/>
      <c r="H478" s="1081" t="s">
        <v>12</v>
      </c>
      <c r="I478" s="1082"/>
      <c r="J478" s="1082"/>
      <c r="K478" s="1083"/>
      <c r="L478" s="957">
        <v>0</v>
      </c>
      <c r="M478" s="957">
        <v>0</v>
      </c>
      <c r="N478" s="957">
        <v>0</v>
      </c>
      <c r="O478" s="957">
        <f t="shared" si="212"/>
        <v>0</v>
      </c>
      <c r="P478" s="957">
        <f t="shared" si="213"/>
        <v>0</v>
      </c>
      <c r="Q478" s="1445"/>
      <c r="R478" s="1445"/>
      <c r="S478" s="1445"/>
      <c r="T478" s="1445"/>
      <c r="U478" s="1445"/>
      <c r="V478" s="1445"/>
      <c r="W478" s="1445"/>
      <c r="X478" s="1445"/>
      <c r="Y478" s="1445"/>
      <c r="Z478" s="1445"/>
    </row>
    <row r="479" spans="1:26" ht="18.75" hidden="1">
      <c r="A479" s="1441"/>
      <c r="B479" s="1446"/>
      <c r="C479" s="1446"/>
      <c r="D479" s="1446"/>
      <c r="E479" s="1446" t="s">
        <v>19</v>
      </c>
      <c r="F479" s="1446"/>
      <c r="G479" s="1444"/>
      <c r="H479" s="1085" t="s">
        <v>12</v>
      </c>
      <c r="I479" s="1082"/>
      <c r="J479" s="1082"/>
      <c r="K479" s="1083"/>
      <c r="L479" s="957">
        <f ca="1">IFERROR(__xludf.DUMMYFUNCTION("IMPORTRANGE(""https://docs.google.com/spreadsheets/d/1QqKyyYR6Q21VydFLVH3TRQUabQu_ym0Zz7PgGX0-kHA/edit?usp=sharing"",""แผน!FV62"")"),0)</f>
        <v>0</v>
      </c>
      <c r="M479" s="957">
        <v>0</v>
      </c>
      <c r="N479" s="957">
        <v>0</v>
      </c>
      <c r="O479" s="957">
        <f t="shared" ca="1" si="212"/>
        <v>0</v>
      </c>
      <c r="P479" s="957">
        <f t="shared" si="213"/>
        <v>0</v>
      </c>
      <c r="Q479" s="1445"/>
      <c r="R479" s="1445"/>
      <c r="S479" s="1445"/>
      <c r="T479" s="1445"/>
      <c r="U479" s="1445"/>
      <c r="V479" s="1445"/>
      <c r="W479" s="1445"/>
      <c r="X479" s="1445"/>
      <c r="Y479" s="1445"/>
      <c r="Z479" s="1445"/>
    </row>
    <row r="480" spans="1:26" ht="19.5">
      <c r="A480" s="1448"/>
      <c r="B480" s="1449"/>
      <c r="C480" s="1417" t="s">
        <v>16</v>
      </c>
      <c r="D480" s="1457" t="s">
        <v>38</v>
      </c>
      <c r="E480" s="1451"/>
      <c r="F480" s="1452"/>
      <c r="G480" s="1453"/>
      <c r="H480" s="1091"/>
      <c r="I480" s="949"/>
      <c r="J480" s="949"/>
      <c r="K480" s="950"/>
      <c r="L480" s="950"/>
      <c r="M480" s="950"/>
      <c r="N480" s="950"/>
      <c r="O480" s="950"/>
      <c r="P480" s="950"/>
      <c r="Q480" s="1419"/>
      <c r="R480" s="1419"/>
      <c r="S480" s="1419"/>
      <c r="T480" s="1419"/>
      <c r="U480" s="1419"/>
      <c r="V480" s="1419"/>
      <c r="W480" s="1419"/>
      <c r="X480" s="1419"/>
      <c r="Y480" s="1419"/>
      <c r="Z480" s="1419"/>
    </row>
    <row r="481" spans="1:26" ht="19.5">
      <c r="A481" s="1448"/>
      <c r="B481" s="1449"/>
      <c r="C481" s="1449"/>
      <c r="D481" s="1458" t="s">
        <v>207</v>
      </c>
      <c r="E481" s="1449"/>
      <c r="F481" s="1449"/>
      <c r="G481" s="1091"/>
      <c r="H481" s="1103"/>
      <c r="I481" s="949"/>
      <c r="J481" s="949"/>
      <c r="K481" s="950"/>
      <c r="L481" s="950"/>
      <c r="M481" s="950"/>
      <c r="N481" s="950"/>
      <c r="O481" s="950"/>
      <c r="P481" s="950"/>
      <c r="Q481" s="1419"/>
      <c r="R481" s="1419"/>
      <c r="S481" s="1419"/>
      <c r="T481" s="1419"/>
      <c r="U481" s="1419"/>
      <c r="V481" s="1419"/>
      <c r="W481" s="1419"/>
      <c r="X481" s="1419"/>
      <c r="Y481" s="1419"/>
      <c r="Z481" s="1419"/>
    </row>
    <row r="482" spans="1:26" ht="18.75">
      <c r="A482" s="1448"/>
      <c r="B482" s="1449"/>
      <c r="C482" s="1449"/>
      <c r="D482" s="1449"/>
      <c r="E482" s="1449" t="s">
        <v>208</v>
      </c>
      <c r="F482" s="1449"/>
      <c r="G482" s="1091"/>
      <c r="H482" s="1103"/>
      <c r="I482" s="949"/>
      <c r="J482" s="949"/>
      <c r="K482" s="950"/>
      <c r="L482" s="950"/>
      <c r="M482" s="950"/>
      <c r="N482" s="950"/>
      <c r="O482" s="950"/>
      <c r="P482" s="950"/>
      <c r="Q482" s="1419"/>
      <c r="R482" s="1419"/>
      <c r="S482" s="1419"/>
      <c r="T482" s="1419"/>
      <c r="U482" s="1419"/>
      <c r="V482" s="1419"/>
      <c r="W482" s="1419"/>
      <c r="X482" s="1419"/>
      <c r="Y482" s="1419"/>
      <c r="Z482" s="1419"/>
    </row>
    <row r="483" spans="1:26" ht="18.75">
      <c r="A483" s="1448"/>
      <c r="B483" s="1449"/>
      <c r="C483" s="1449"/>
      <c r="D483" s="1449"/>
      <c r="E483" s="1449"/>
      <c r="F483" s="1449" t="s">
        <v>209</v>
      </c>
      <c r="G483" s="1091"/>
      <c r="H483" s="948" t="s">
        <v>46</v>
      </c>
      <c r="I483" s="949">
        <f ca="1">IFERROR(__xludf.DUMMYFUNCTION("IMPORTRANGE(""https://docs.google.com/spreadsheets/d/1QqKyyYR6Q21VydFLVH3TRQUabQu_ym0Zz7PgGX0-kHA/edit?usp=sharing"",""แผน!FY62"")"),450)</f>
        <v>450</v>
      </c>
      <c r="J483" s="1098">
        <v>450</v>
      </c>
      <c r="K483" s="950">
        <f ca="1">IF(I483&gt;0,J483*100/I483,0)</f>
        <v>100</v>
      </c>
      <c r="L483" s="950"/>
      <c r="M483" s="950"/>
      <c r="N483" s="950"/>
      <c r="O483" s="950"/>
      <c r="P483" s="950"/>
      <c r="Q483" s="1419"/>
      <c r="R483" s="1419"/>
      <c r="S483" s="1419"/>
      <c r="T483" s="1419"/>
      <c r="U483" s="1419"/>
      <c r="V483" s="1419"/>
      <c r="W483" s="1419"/>
      <c r="X483" s="1419"/>
      <c r="Y483" s="1419"/>
      <c r="Z483" s="1419"/>
    </row>
    <row r="484" spans="1:26" ht="18.75">
      <c r="A484" s="1448"/>
      <c r="B484" s="1449"/>
      <c r="C484" s="1449"/>
      <c r="D484" s="1449"/>
      <c r="E484" s="1449"/>
      <c r="F484" s="1449" t="s">
        <v>360</v>
      </c>
      <c r="G484" s="1091"/>
      <c r="H484" s="948" t="s">
        <v>35</v>
      </c>
      <c r="I484" s="949"/>
      <c r="J484" s="1098">
        <v>45</v>
      </c>
      <c r="K484" s="950"/>
      <c r="L484" s="950"/>
      <c r="M484" s="950"/>
      <c r="N484" s="950"/>
      <c r="O484" s="950"/>
      <c r="P484" s="950"/>
      <c r="Q484" s="1419"/>
      <c r="R484" s="1419"/>
      <c r="S484" s="1419"/>
      <c r="T484" s="1419"/>
      <c r="U484" s="1419"/>
      <c r="V484" s="1419"/>
      <c r="W484" s="1419"/>
      <c r="X484" s="1419"/>
      <c r="Y484" s="1419"/>
      <c r="Z484" s="1419"/>
    </row>
    <row r="485" spans="1:26" ht="18.75">
      <c r="A485" s="1448"/>
      <c r="B485" s="1449"/>
      <c r="C485" s="1449"/>
      <c r="D485" s="1449"/>
      <c r="E485" s="1449"/>
      <c r="F485" s="1449" t="s">
        <v>361</v>
      </c>
      <c r="G485" s="1091"/>
      <c r="H485" s="948" t="s">
        <v>35</v>
      </c>
      <c r="I485" s="949">
        <f ca="1">IFERROR(__xludf.DUMMYFUNCTION("IMPORTRANGE(""https://docs.google.com/spreadsheets/d/1QqKyyYR6Q21VydFLVH3TRQUabQu_ym0Zz7PgGX0-kHA/edit?usp=sharing"",""แผน!FZ62"")"),45)</f>
        <v>45</v>
      </c>
      <c r="J485" s="1098">
        <v>45</v>
      </c>
      <c r="K485" s="950">
        <f ca="1">IF(I485&gt;0,J485*100/I485,0)</f>
        <v>100</v>
      </c>
      <c r="L485" s="950"/>
      <c r="M485" s="950"/>
      <c r="N485" s="950"/>
      <c r="O485" s="950"/>
      <c r="P485" s="950"/>
      <c r="Q485" s="1419"/>
      <c r="R485" s="1419"/>
      <c r="S485" s="1419"/>
      <c r="T485" s="1419"/>
      <c r="U485" s="1419"/>
      <c r="V485" s="1419"/>
      <c r="W485" s="1419"/>
      <c r="X485" s="1419"/>
      <c r="Y485" s="1419"/>
      <c r="Z485" s="1419"/>
    </row>
    <row r="486" spans="1:26" ht="18.75">
      <c r="A486" s="1448"/>
      <c r="B486" s="1449"/>
      <c r="C486" s="1449"/>
      <c r="D486" s="1449"/>
      <c r="E486" s="1449" t="s">
        <v>62</v>
      </c>
      <c r="F486" s="1449"/>
      <c r="G486" s="1091"/>
      <c r="H486" s="948"/>
      <c r="I486" s="949"/>
      <c r="J486" s="949"/>
      <c r="K486" s="950"/>
      <c r="L486" s="950"/>
      <c r="M486" s="950"/>
      <c r="N486" s="950"/>
      <c r="O486" s="950"/>
      <c r="P486" s="950"/>
      <c r="Q486" s="1419"/>
      <c r="R486" s="1419"/>
      <c r="S486" s="1419"/>
      <c r="T486" s="1419"/>
      <c r="U486" s="1419"/>
      <c r="V486" s="1419"/>
      <c r="W486" s="1419"/>
      <c r="X486" s="1419"/>
      <c r="Y486" s="1419"/>
      <c r="Z486" s="1419"/>
    </row>
    <row r="487" spans="1:26" ht="18.75">
      <c r="A487" s="1448"/>
      <c r="B487" s="1449"/>
      <c r="C487" s="1449"/>
      <c r="D487" s="1449"/>
      <c r="E487" s="1449"/>
      <c r="F487" s="1449" t="s">
        <v>209</v>
      </c>
      <c r="G487" s="1091"/>
      <c r="H487" s="948" t="s">
        <v>46</v>
      </c>
      <c r="I487" s="949">
        <f ca="1">IFERROR(__xludf.DUMMYFUNCTION("IMPORTRANGE(""https://docs.google.com/spreadsheets/d/1QqKyyYR6Q21VydFLVH3TRQUabQu_ym0Zz7PgGX0-kHA/edit?usp=sharing"",""แผน!GA62"")"),50)</f>
        <v>50</v>
      </c>
      <c r="J487" s="1098">
        <v>50</v>
      </c>
      <c r="K487" s="950">
        <f ca="1">IF(I487&gt;0,J487*100/I487,0)</f>
        <v>100</v>
      </c>
      <c r="L487" s="950"/>
      <c r="M487" s="950"/>
      <c r="N487" s="950"/>
      <c r="O487" s="950"/>
      <c r="P487" s="950"/>
      <c r="Q487" s="1419"/>
      <c r="R487" s="1419"/>
      <c r="S487" s="1419"/>
      <c r="T487" s="1419"/>
      <c r="U487" s="1419"/>
      <c r="V487" s="1419"/>
      <c r="W487" s="1419"/>
      <c r="X487" s="1419"/>
      <c r="Y487" s="1419"/>
      <c r="Z487" s="1419"/>
    </row>
    <row r="488" spans="1:26" ht="18.75">
      <c r="A488" s="1448"/>
      <c r="B488" s="1449"/>
      <c r="C488" s="1449"/>
      <c r="D488" s="1449"/>
      <c r="E488" s="1449"/>
      <c r="F488" s="1449" t="s">
        <v>362</v>
      </c>
      <c r="G488" s="1091"/>
      <c r="H488" s="948" t="s">
        <v>35</v>
      </c>
      <c r="I488" s="949"/>
      <c r="J488" s="1098">
        <v>5</v>
      </c>
      <c r="K488" s="950"/>
      <c r="L488" s="950"/>
      <c r="M488" s="950"/>
      <c r="N488" s="950"/>
      <c r="O488" s="950"/>
      <c r="P488" s="950"/>
      <c r="Q488" s="1419"/>
      <c r="R488" s="1419"/>
      <c r="S488" s="1419"/>
      <c r="T488" s="1419"/>
      <c r="U488" s="1419"/>
      <c r="V488" s="1419"/>
      <c r="W488" s="1419"/>
      <c r="X488" s="1419"/>
      <c r="Y488" s="1419"/>
      <c r="Z488" s="1419"/>
    </row>
    <row r="489" spans="1:26" ht="18.75">
      <c r="A489" s="1448"/>
      <c r="B489" s="1449"/>
      <c r="C489" s="1449"/>
      <c r="D489" s="1449"/>
      <c r="E489" s="1449"/>
      <c r="F489" s="1449" t="s">
        <v>363</v>
      </c>
      <c r="G489" s="1091"/>
      <c r="H489" s="948" t="s">
        <v>35</v>
      </c>
      <c r="I489" s="949">
        <f ca="1">IFERROR(__xludf.DUMMYFUNCTION("IMPORTRANGE(""https://docs.google.com/spreadsheets/d/1QqKyyYR6Q21VydFLVH3TRQUabQu_ym0Zz7PgGX0-kHA/edit?usp=sharing"",""แผน!GB62"")"),5)</f>
        <v>5</v>
      </c>
      <c r="J489" s="1098">
        <v>5</v>
      </c>
      <c r="K489" s="950">
        <f ca="1">IF(I489&gt;0,J489*100/I489,0)</f>
        <v>100</v>
      </c>
      <c r="L489" s="950"/>
      <c r="M489" s="950"/>
      <c r="N489" s="950"/>
      <c r="O489" s="950"/>
      <c r="P489" s="950"/>
      <c r="Q489" s="1419"/>
      <c r="R489" s="1419"/>
      <c r="S489" s="1419"/>
      <c r="T489" s="1419"/>
      <c r="U489" s="1419"/>
      <c r="V489" s="1419"/>
      <c r="W489" s="1419"/>
      <c r="X489" s="1419"/>
      <c r="Y489" s="1419"/>
      <c r="Z489" s="1419"/>
    </row>
    <row r="490" spans="1:26" ht="18.75">
      <c r="A490" s="1448"/>
      <c r="B490" s="1449"/>
      <c r="C490" s="1449"/>
      <c r="D490" s="1449"/>
      <c r="E490" s="1449" t="s">
        <v>63</v>
      </c>
      <c r="F490" s="1101"/>
      <c r="G490" s="1091"/>
      <c r="H490" s="948"/>
      <c r="I490" s="949"/>
      <c r="J490" s="949"/>
      <c r="K490" s="950"/>
      <c r="L490" s="950"/>
      <c r="M490" s="950"/>
      <c r="N490" s="950"/>
      <c r="O490" s="950"/>
      <c r="P490" s="950"/>
      <c r="Q490" s="1419"/>
      <c r="R490" s="1419"/>
      <c r="S490" s="1419"/>
      <c r="T490" s="1419"/>
      <c r="U490" s="1419"/>
      <c r="V490" s="1419"/>
      <c r="W490" s="1419"/>
      <c r="X490" s="1419"/>
      <c r="Y490" s="1419"/>
      <c r="Z490" s="1419"/>
    </row>
    <row r="491" spans="1:26" ht="18.75">
      <c r="A491" s="1448"/>
      <c r="B491" s="1449"/>
      <c r="C491" s="1449"/>
      <c r="D491" s="1449"/>
      <c r="E491" s="1449"/>
      <c r="F491" s="1449" t="s">
        <v>364</v>
      </c>
      <c r="G491" s="1091"/>
      <c r="H491" s="948" t="s">
        <v>35</v>
      </c>
      <c r="I491" s="949"/>
      <c r="J491" s="1098">
        <v>1</v>
      </c>
      <c r="K491" s="950"/>
      <c r="L491" s="950"/>
      <c r="M491" s="950"/>
      <c r="N491" s="950"/>
      <c r="O491" s="950"/>
      <c r="P491" s="950"/>
      <c r="Q491" s="1419"/>
      <c r="R491" s="1419"/>
      <c r="S491" s="1419"/>
      <c r="T491" s="1419"/>
      <c r="U491" s="1419"/>
      <c r="V491" s="1419"/>
      <c r="W491" s="1419"/>
      <c r="X491" s="1419"/>
      <c r="Y491" s="1419"/>
      <c r="Z491" s="1419"/>
    </row>
    <row r="492" spans="1:26" ht="18.75">
      <c r="A492" s="1448"/>
      <c r="B492" s="1449"/>
      <c r="C492" s="1449"/>
      <c r="D492" s="1449"/>
      <c r="E492" s="1449"/>
      <c r="F492" s="1449" t="s">
        <v>365</v>
      </c>
      <c r="G492" s="1091"/>
      <c r="H492" s="948" t="s">
        <v>35</v>
      </c>
      <c r="I492" s="949">
        <f ca="1">IFERROR(__xludf.DUMMYFUNCTION("IMPORTRANGE(""https://docs.google.com/spreadsheets/d/1QqKyyYR6Q21VydFLVH3TRQUabQu_ym0Zz7PgGX0-kHA/edit?usp=sharing"",""แผน!GC62"")"),1)</f>
        <v>1</v>
      </c>
      <c r="J492" s="1098">
        <v>1</v>
      </c>
      <c r="K492" s="950">
        <f ca="1">IF(I492&gt;0,J492*100/I492,0)</f>
        <v>100</v>
      </c>
      <c r="L492" s="950"/>
      <c r="M492" s="950"/>
      <c r="N492" s="950"/>
      <c r="O492" s="950"/>
      <c r="P492" s="950"/>
      <c r="Q492" s="1419"/>
      <c r="R492" s="1419"/>
      <c r="S492" s="1419"/>
      <c r="T492" s="1419"/>
      <c r="U492" s="1419"/>
      <c r="V492" s="1419"/>
      <c r="W492" s="1419"/>
      <c r="X492" s="1419"/>
      <c r="Y492" s="1419"/>
      <c r="Z492" s="1419"/>
    </row>
    <row r="493" spans="1:26" ht="19.5">
      <c r="A493" s="1448"/>
      <c r="B493" s="1449"/>
      <c r="C493" s="1449"/>
      <c r="D493" s="1458" t="s">
        <v>59</v>
      </c>
      <c r="E493" s="1449"/>
      <c r="F493" s="1101"/>
      <c r="G493" s="1091"/>
      <c r="H493" s="1103"/>
      <c r="I493" s="949"/>
      <c r="J493" s="949"/>
      <c r="K493" s="950"/>
      <c r="L493" s="950"/>
      <c r="M493" s="950"/>
      <c r="N493" s="950"/>
      <c r="O493" s="950"/>
      <c r="P493" s="950"/>
      <c r="Q493" s="1419"/>
      <c r="R493" s="1419"/>
      <c r="S493" s="1419"/>
      <c r="T493" s="1419"/>
      <c r="U493" s="1419"/>
      <c r="V493" s="1419"/>
      <c r="W493" s="1419"/>
      <c r="X493" s="1419"/>
      <c r="Y493" s="1419"/>
      <c r="Z493" s="1419"/>
    </row>
    <row r="494" spans="1:26" ht="18.75">
      <c r="A494" s="1448"/>
      <c r="B494" s="1449"/>
      <c r="C494" s="1449"/>
      <c r="D494" s="1449"/>
      <c r="E494" s="1449" t="s">
        <v>208</v>
      </c>
      <c r="F494" s="1101"/>
      <c r="G494" s="1091"/>
      <c r="H494" s="1103"/>
      <c r="I494" s="949"/>
      <c r="J494" s="949"/>
      <c r="K494" s="950"/>
      <c r="L494" s="950"/>
      <c r="M494" s="950"/>
      <c r="N494" s="950"/>
      <c r="O494" s="950"/>
      <c r="P494" s="950"/>
      <c r="Q494" s="1419"/>
      <c r="R494" s="1419"/>
      <c r="S494" s="1419"/>
      <c r="T494" s="1419"/>
      <c r="U494" s="1419"/>
      <c r="V494" s="1419"/>
      <c r="W494" s="1419"/>
      <c r="X494" s="1419"/>
      <c r="Y494" s="1419"/>
      <c r="Z494" s="1419"/>
    </row>
    <row r="495" spans="1:26" ht="18.75">
      <c r="A495" s="1448"/>
      <c r="B495" s="1449"/>
      <c r="C495" s="1449"/>
      <c r="D495" s="1449"/>
      <c r="E495" s="1449"/>
      <c r="F495" s="1101" t="s">
        <v>366</v>
      </c>
      <c r="G495" s="1091"/>
      <c r="H495" s="948" t="s">
        <v>46</v>
      </c>
      <c r="I495" s="949">
        <f ca="1">IFERROR(__xludf.DUMMYFUNCTION("IMPORTRANGE(""https://docs.google.com/spreadsheets/d/1QqKyyYR6Q21VydFLVH3TRQUabQu_ym0Zz7PgGX0-kHA/edit?usp=sharing"",""แผน!FY62"")"),450)</f>
        <v>450</v>
      </c>
      <c r="J495" s="1098">
        <v>450</v>
      </c>
      <c r="K495" s="950">
        <f ca="1">IF(I495&gt;0,J495*100/I495,0)</f>
        <v>100</v>
      </c>
      <c r="L495" s="950"/>
      <c r="M495" s="950"/>
      <c r="N495" s="950"/>
      <c r="O495" s="950"/>
      <c r="P495" s="950"/>
      <c r="Q495" s="1419"/>
      <c r="R495" s="1419"/>
      <c r="S495" s="1419"/>
      <c r="T495" s="1419"/>
      <c r="U495" s="1419"/>
      <c r="V495" s="1419"/>
      <c r="W495" s="1419"/>
      <c r="X495" s="1419"/>
      <c r="Y495" s="1419"/>
      <c r="Z495" s="1419"/>
    </row>
    <row r="496" spans="1:26" ht="18.75">
      <c r="A496" s="1448"/>
      <c r="B496" s="1449"/>
      <c r="C496" s="1449"/>
      <c r="D496" s="1449"/>
      <c r="E496" s="1449"/>
      <c r="F496" s="1101" t="s">
        <v>367</v>
      </c>
      <c r="G496" s="1091"/>
      <c r="H496" s="948" t="s">
        <v>46</v>
      </c>
      <c r="I496" s="949"/>
      <c r="J496" s="1098">
        <v>450</v>
      </c>
      <c r="K496" s="950"/>
      <c r="L496" s="950"/>
      <c r="M496" s="950"/>
      <c r="N496" s="950"/>
      <c r="O496" s="950"/>
      <c r="P496" s="950"/>
      <c r="Q496" s="1419"/>
      <c r="R496" s="1419"/>
      <c r="S496" s="1419"/>
      <c r="T496" s="1419"/>
      <c r="U496" s="1419"/>
      <c r="V496" s="1419"/>
      <c r="W496" s="1419"/>
      <c r="X496" s="1419"/>
      <c r="Y496" s="1419"/>
      <c r="Z496" s="1419"/>
    </row>
    <row r="497" spans="1:26" ht="18.75">
      <c r="A497" s="1448"/>
      <c r="B497" s="1449"/>
      <c r="C497" s="1449"/>
      <c r="D497" s="1449"/>
      <c r="E497" s="1449" t="s">
        <v>62</v>
      </c>
      <c r="F497" s="1101"/>
      <c r="G497" s="1091"/>
      <c r="H497" s="1103"/>
      <c r="I497" s="949"/>
      <c r="J497" s="949"/>
      <c r="K497" s="950"/>
      <c r="L497" s="950"/>
      <c r="M497" s="950"/>
      <c r="N497" s="950"/>
      <c r="O497" s="950"/>
      <c r="P497" s="950"/>
      <c r="Q497" s="1419"/>
      <c r="R497" s="1419"/>
      <c r="S497" s="1419"/>
      <c r="T497" s="1419"/>
      <c r="U497" s="1419"/>
      <c r="V497" s="1419"/>
      <c r="W497" s="1419"/>
      <c r="X497" s="1419"/>
      <c r="Y497" s="1419"/>
      <c r="Z497" s="1419"/>
    </row>
    <row r="498" spans="1:26" ht="18.75">
      <c r="A498" s="1448"/>
      <c r="B498" s="1449"/>
      <c r="C498" s="1449"/>
      <c r="D498" s="1449"/>
      <c r="E498" s="1101"/>
      <c r="F498" s="1101" t="s">
        <v>368</v>
      </c>
      <c r="G498" s="1091"/>
      <c r="H498" s="948" t="s">
        <v>46</v>
      </c>
      <c r="I498" s="949">
        <f ca="1">IFERROR(__xludf.DUMMYFUNCTION("IMPORTRANGE(""https://docs.google.com/spreadsheets/d/1QqKyyYR6Q21VydFLVH3TRQUabQu_ym0Zz7PgGX0-kHA/edit?usp=sharing"",""แผน!GA62"")"),50)</f>
        <v>50</v>
      </c>
      <c r="J498" s="1098">
        <v>50</v>
      </c>
      <c r="K498" s="950">
        <f ca="1">IF(I498&gt;0,J498*100/I498,0)</f>
        <v>100</v>
      </c>
      <c r="L498" s="950"/>
      <c r="M498" s="950"/>
      <c r="N498" s="950"/>
      <c r="O498" s="950"/>
      <c r="P498" s="950"/>
      <c r="Q498" s="1419"/>
      <c r="R498" s="1419"/>
      <c r="S498" s="1419"/>
      <c r="T498" s="1419"/>
      <c r="U498" s="1419"/>
      <c r="V498" s="1419"/>
      <c r="W498" s="1419"/>
      <c r="X498" s="1419"/>
      <c r="Y498" s="1419"/>
      <c r="Z498" s="1419"/>
    </row>
    <row r="499" spans="1:26" ht="18.75">
      <c r="A499" s="1448"/>
      <c r="B499" s="1449"/>
      <c r="C499" s="1449"/>
      <c r="D499" s="1449"/>
      <c r="E499" s="1101"/>
      <c r="F499" s="1101" t="s">
        <v>369</v>
      </c>
      <c r="G499" s="1091"/>
      <c r="H499" s="948" t="s">
        <v>46</v>
      </c>
      <c r="I499" s="949"/>
      <c r="J499" s="1098">
        <v>50</v>
      </c>
      <c r="K499" s="950"/>
      <c r="L499" s="950"/>
      <c r="M499" s="950"/>
      <c r="N499" s="950"/>
      <c r="O499" s="950"/>
      <c r="P499" s="950"/>
      <c r="Q499" s="1419"/>
      <c r="R499" s="1419"/>
      <c r="S499" s="1419"/>
      <c r="T499" s="1419"/>
      <c r="U499" s="1419"/>
      <c r="V499" s="1419"/>
      <c r="W499" s="1419"/>
      <c r="X499" s="1419"/>
      <c r="Y499" s="1419"/>
      <c r="Z499" s="1419"/>
    </row>
    <row r="500" spans="1:26" ht="19.5" hidden="1">
      <c r="A500" s="1459">
        <v>4</v>
      </c>
      <c r="B500" s="1460" t="s">
        <v>220</v>
      </c>
      <c r="C500" s="1461"/>
      <c r="D500" s="1462"/>
      <c r="E500" s="1462"/>
      <c r="F500" s="1462"/>
      <c r="G500" s="1463"/>
      <c r="H500" s="1464" t="s">
        <v>109</v>
      </c>
      <c r="I500" s="1465"/>
      <c r="J500" s="1465">
        <f t="shared" ref="J500:J501" si="214">J516</f>
        <v>0</v>
      </c>
      <c r="K500" s="1466">
        <f t="shared" ref="K500:K501" si="215">IF(I500&gt;0,J500*100/I500,0)</f>
        <v>0</v>
      </c>
      <c r="L500" s="1467"/>
      <c r="M500" s="1467"/>
      <c r="N500" s="1467"/>
      <c r="O500" s="1467"/>
      <c r="P500" s="1467"/>
      <c r="Q500" s="1445"/>
      <c r="R500" s="1445"/>
      <c r="S500" s="1445"/>
      <c r="T500" s="1445"/>
      <c r="U500" s="1445"/>
      <c r="V500" s="1445"/>
      <c r="W500" s="1445"/>
      <c r="X500" s="1445"/>
      <c r="Y500" s="1445"/>
      <c r="Z500" s="1445"/>
    </row>
    <row r="501" spans="1:26" ht="19.5" hidden="1">
      <c r="A501" s="1468"/>
      <c r="B501" s="1469" t="s">
        <v>221</v>
      </c>
      <c r="C501" s="1469"/>
      <c r="D501" s="1470"/>
      <c r="E501" s="1470"/>
      <c r="F501" s="1470"/>
      <c r="G501" s="1471"/>
      <c r="H501" s="1472" t="s">
        <v>35</v>
      </c>
      <c r="I501" s="1473"/>
      <c r="J501" s="1473">
        <f t="shared" si="214"/>
        <v>0</v>
      </c>
      <c r="K501" s="1474">
        <f t="shared" si="215"/>
        <v>0</v>
      </c>
      <c r="L501" s="1475"/>
      <c r="M501" s="1475"/>
      <c r="N501" s="1475"/>
      <c r="O501" s="1475"/>
      <c r="P501" s="1475"/>
      <c r="Q501" s="1445"/>
      <c r="R501" s="1445"/>
      <c r="S501" s="1445"/>
      <c r="T501" s="1445"/>
      <c r="U501" s="1445"/>
      <c r="V501" s="1445"/>
      <c r="W501" s="1445"/>
      <c r="X501" s="1445"/>
      <c r="Y501" s="1445"/>
      <c r="Z501" s="1445"/>
    </row>
    <row r="502" spans="1:26" ht="19.5" hidden="1">
      <c r="A502" s="1441"/>
      <c r="B502" s="1442"/>
      <c r="C502" s="1442" t="s">
        <v>16</v>
      </c>
      <c r="D502" s="1476" t="s">
        <v>17</v>
      </c>
      <c r="E502" s="987"/>
      <c r="F502" s="987"/>
      <c r="G502" s="1444"/>
      <c r="H502" s="1477" t="s">
        <v>12</v>
      </c>
      <c r="I502" s="956"/>
      <c r="J502" s="956"/>
      <c r="K502" s="957"/>
      <c r="L502" s="1478">
        <f t="shared" ref="L502:N502" si="216">L503+L504</f>
        <v>0</v>
      </c>
      <c r="M502" s="1478">
        <f t="shared" si="216"/>
        <v>0</v>
      </c>
      <c r="N502" s="1478">
        <f t="shared" si="216"/>
        <v>0</v>
      </c>
      <c r="O502" s="1478">
        <f t="shared" ref="O502:O507" si="217">IF(L502&gt;0,N502*100/L502,0)</f>
        <v>0</v>
      </c>
      <c r="P502" s="1478">
        <f t="shared" ref="P502:P507" si="218">IF(M502&gt;0,N502*100/M502,0)</f>
        <v>0</v>
      </c>
      <c r="Q502" s="1445"/>
      <c r="R502" s="1445"/>
      <c r="S502" s="1445"/>
      <c r="T502" s="1445"/>
      <c r="U502" s="1445"/>
      <c r="V502" s="1445"/>
      <c r="W502" s="1445"/>
      <c r="X502" s="1445"/>
      <c r="Y502" s="1445"/>
      <c r="Z502" s="1445"/>
    </row>
    <row r="503" spans="1:26" ht="18.75" hidden="1">
      <c r="A503" s="1441"/>
      <c r="B503" s="1442"/>
      <c r="C503" s="1442"/>
      <c r="D503" s="1443"/>
      <c r="E503" s="1442" t="s">
        <v>185</v>
      </c>
      <c r="F503" s="1442"/>
      <c r="G503" s="1444"/>
      <c r="H503" s="1081" t="s">
        <v>12</v>
      </c>
      <c r="I503" s="956"/>
      <c r="J503" s="956"/>
      <c r="K503" s="957"/>
      <c r="L503" s="957">
        <f t="shared" ref="L503:N504" si="219">L506+L513</f>
        <v>0</v>
      </c>
      <c r="M503" s="957">
        <f t="shared" si="219"/>
        <v>0</v>
      </c>
      <c r="N503" s="957">
        <f t="shared" si="219"/>
        <v>0</v>
      </c>
      <c r="O503" s="957">
        <f t="shared" si="217"/>
        <v>0</v>
      </c>
      <c r="P503" s="957">
        <f t="shared" si="218"/>
        <v>0</v>
      </c>
      <c r="Q503" s="1445"/>
      <c r="R503" s="1445"/>
      <c r="S503" s="1445"/>
      <c r="T503" s="1445"/>
      <c r="U503" s="1445"/>
      <c r="V503" s="1445"/>
      <c r="W503" s="1445"/>
      <c r="X503" s="1445"/>
      <c r="Y503" s="1445"/>
      <c r="Z503" s="1445"/>
    </row>
    <row r="504" spans="1:26" ht="18.75" hidden="1">
      <c r="A504" s="1441"/>
      <c r="B504" s="1446"/>
      <c r="C504" s="1442"/>
      <c r="D504" s="1443"/>
      <c r="E504" s="1442" t="s">
        <v>186</v>
      </c>
      <c r="F504" s="1442"/>
      <c r="G504" s="1444"/>
      <c r="H504" s="1081" t="s">
        <v>12</v>
      </c>
      <c r="I504" s="956"/>
      <c r="J504" s="956"/>
      <c r="K504" s="957"/>
      <c r="L504" s="957">
        <f t="shared" si="219"/>
        <v>0</v>
      </c>
      <c r="M504" s="957">
        <f t="shared" si="219"/>
        <v>0</v>
      </c>
      <c r="N504" s="957">
        <f t="shared" si="219"/>
        <v>0</v>
      </c>
      <c r="O504" s="957">
        <f t="shared" si="217"/>
        <v>0</v>
      </c>
      <c r="P504" s="957">
        <f t="shared" si="218"/>
        <v>0</v>
      </c>
      <c r="Q504" s="1445"/>
      <c r="R504" s="1445"/>
      <c r="S504" s="1445"/>
      <c r="T504" s="1445"/>
      <c r="U504" s="1445"/>
      <c r="V504" s="1445"/>
      <c r="W504" s="1445"/>
      <c r="X504" s="1445"/>
      <c r="Y504" s="1445"/>
      <c r="Z504" s="1445"/>
    </row>
    <row r="505" spans="1:26" ht="18.75" hidden="1">
      <c r="A505" s="1441"/>
      <c r="B505" s="1446"/>
      <c r="C505" s="1442"/>
      <c r="D505" s="1479" t="s">
        <v>20</v>
      </c>
      <c r="E505" s="1442"/>
      <c r="F505" s="1442"/>
      <c r="G505" s="1444"/>
      <c r="H505" s="1081" t="s">
        <v>12</v>
      </c>
      <c r="I505" s="1082"/>
      <c r="J505" s="1082"/>
      <c r="K505" s="1083"/>
      <c r="L505" s="957">
        <f t="shared" ref="L505:N505" si="220">L506+L507</f>
        <v>0</v>
      </c>
      <c r="M505" s="957">
        <f t="shared" si="220"/>
        <v>0</v>
      </c>
      <c r="N505" s="957">
        <f t="shared" si="220"/>
        <v>0</v>
      </c>
      <c r="O505" s="957">
        <f t="shared" si="217"/>
        <v>0</v>
      </c>
      <c r="P505" s="957">
        <f t="shared" si="218"/>
        <v>0</v>
      </c>
      <c r="Q505" s="1445"/>
      <c r="R505" s="1445"/>
      <c r="S505" s="1445"/>
      <c r="T505" s="1445"/>
      <c r="U505" s="1445"/>
      <c r="V505" s="1445"/>
      <c r="W505" s="1445"/>
      <c r="X505" s="1445"/>
      <c r="Y505" s="1445"/>
      <c r="Z505" s="1445"/>
    </row>
    <row r="506" spans="1:26" ht="18.75" hidden="1">
      <c r="A506" s="1441"/>
      <c r="B506" s="1446"/>
      <c r="C506" s="1442"/>
      <c r="D506" s="1443"/>
      <c r="E506" s="1442" t="s">
        <v>185</v>
      </c>
      <c r="F506" s="1442"/>
      <c r="G506" s="1444"/>
      <c r="H506" s="1081" t="s">
        <v>12</v>
      </c>
      <c r="I506" s="956"/>
      <c r="J506" s="956"/>
      <c r="K506" s="957"/>
      <c r="L506" s="957">
        <v>0</v>
      </c>
      <c r="M506" s="957">
        <v>0</v>
      </c>
      <c r="N506" s="957">
        <v>0</v>
      </c>
      <c r="O506" s="957">
        <f t="shared" si="217"/>
        <v>0</v>
      </c>
      <c r="P506" s="957">
        <f t="shared" si="218"/>
        <v>0</v>
      </c>
      <c r="Q506" s="1445"/>
      <c r="R506" s="1445"/>
      <c r="S506" s="1445"/>
      <c r="T506" s="1445"/>
      <c r="U506" s="1445"/>
      <c r="V506" s="1445"/>
      <c r="W506" s="1445"/>
      <c r="X506" s="1445"/>
      <c r="Y506" s="1445"/>
      <c r="Z506" s="1445"/>
    </row>
    <row r="507" spans="1:26" ht="18.75" hidden="1">
      <c r="A507" s="1441"/>
      <c r="B507" s="1446"/>
      <c r="C507" s="1442"/>
      <c r="D507" s="1443"/>
      <c r="E507" s="1442" t="s">
        <v>186</v>
      </c>
      <c r="F507" s="1442"/>
      <c r="G507" s="1444"/>
      <c r="H507" s="1081" t="s">
        <v>12</v>
      </c>
      <c r="I507" s="956"/>
      <c r="J507" s="956"/>
      <c r="K507" s="957"/>
      <c r="L507" s="957">
        <v>0</v>
      </c>
      <c r="M507" s="957">
        <v>0</v>
      </c>
      <c r="N507" s="957">
        <f>N508+N509+N510+N511</f>
        <v>0</v>
      </c>
      <c r="O507" s="957">
        <f t="shared" si="217"/>
        <v>0</v>
      </c>
      <c r="P507" s="957">
        <f t="shared" si="218"/>
        <v>0</v>
      </c>
      <c r="Q507" s="1445"/>
      <c r="R507" s="1445"/>
      <c r="S507" s="1445"/>
      <c r="T507" s="1445"/>
      <c r="U507" s="1445"/>
      <c r="V507" s="1445"/>
      <c r="W507" s="1445"/>
      <c r="X507" s="1445"/>
      <c r="Y507" s="1445"/>
      <c r="Z507" s="1445"/>
    </row>
    <row r="508" spans="1:26" ht="18.75" hidden="1">
      <c r="A508" s="1480"/>
      <c r="B508" s="1446"/>
      <c r="C508" s="1442"/>
      <c r="D508" s="1442"/>
      <c r="E508" s="1442"/>
      <c r="F508" s="1442" t="s">
        <v>187</v>
      </c>
      <c r="G508" s="1444"/>
      <c r="H508" s="1081" t="s">
        <v>12</v>
      </c>
      <c r="I508" s="956"/>
      <c r="J508" s="956"/>
      <c r="K508" s="957"/>
      <c r="L508" s="957"/>
      <c r="M508" s="957"/>
      <c r="N508" s="957">
        <v>0</v>
      </c>
      <c r="O508" s="957"/>
      <c r="P508" s="957"/>
      <c r="Q508" s="1445"/>
      <c r="R508" s="1445"/>
      <c r="S508" s="1445"/>
      <c r="T508" s="1445"/>
      <c r="U508" s="1445"/>
      <c r="V508" s="1445"/>
      <c r="W508" s="1445"/>
      <c r="X508" s="1445"/>
      <c r="Y508" s="1445"/>
      <c r="Z508" s="1445"/>
    </row>
    <row r="509" spans="1:26" ht="18.75" hidden="1">
      <c r="A509" s="1480"/>
      <c r="B509" s="1446"/>
      <c r="C509" s="1442"/>
      <c r="D509" s="1442"/>
      <c r="E509" s="1442"/>
      <c r="F509" s="1442" t="s">
        <v>188</v>
      </c>
      <c r="G509" s="1444"/>
      <c r="H509" s="1081" t="s">
        <v>12</v>
      </c>
      <c r="I509" s="956"/>
      <c r="J509" s="956"/>
      <c r="K509" s="957"/>
      <c r="L509" s="957"/>
      <c r="M509" s="957"/>
      <c r="N509" s="957">
        <v>0</v>
      </c>
      <c r="O509" s="957"/>
      <c r="P509" s="957"/>
      <c r="Q509" s="1445"/>
      <c r="R509" s="1445"/>
      <c r="S509" s="1445"/>
      <c r="T509" s="1445"/>
      <c r="U509" s="1445"/>
      <c r="V509" s="1445"/>
      <c r="W509" s="1445"/>
      <c r="X509" s="1445"/>
      <c r="Y509" s="1445"/>
      <c r="Z509" s="1445"/>
    </row>
    <row r="510" spans="1:26" ht="18.75" hidden="1">
      <c r="A510" s="1480"/>
      <c r="B510" s="1446"/>
      <c r="C510" s="1446"/>
      <c r="D510" s="1446"/>
      <c r="E510" s="1442"/>
      <c r="F510" s="1442" t="s">
        <v>189</v>
      </c>
      <c r="G510" s="1444"/>
      <c r="H510" s="1081" t="s">
        <v>12</v>
      </c>
      <c r="I510" s="956"/>
      <c r="J510" s="956"/>
      <c r="K510" s="957"/>
      <c r="L510" s="957"/>
      <c r="M510" s="957"/>
      <c r="N510" s="957">
        <v>0</v>
      </c>
      <c r="O510" s="957"/>
      <c r="P510" s="957"/>
      <c r="Q510" s="1445"/>
      <c r="R510" s="1445"/>
      <c r="S510" s="1445"/>
      <c r="T510" s="1445"/>
      <c r="U510" s="1445"/>
      <c r="V510" s="1445"/>
      <c r="W510" s="1445"/>
      <c r="X510" s="1445"/>
      <c r="Y510" s="1445"/>
      <c r="Z510" s="1445"/>
    </row>
    <row r="511" spans="1:26" ht="18.75" hidden="1">
      <c r="A511" s="1480"/>
      <c r="B511" s="1446"/>
      <c r="C511" s="1446"/>
      <c r="D511" s="1446"/>
      <c r="E511" s="1442"/>
      <c r="F511" s="1442" t="s">
        <v>190</v>
      </c>
      <c r="G511" s="1444"/>
      <c r="H511" s="1081" t="s">
        <v>12</v>
      </c>
      <c r="I511" s="956"/>
      <c r="J511" s="956"/>
      <c r="K511" s="957"/>
      <c r="L511" s="957"/>
      <c r="M511" s="957"/>
      <c r="N511" s="957">
        <v>0</v>
      </c>
      <c r="O511" s="957"/>
      <c r="P511" s="957"/>
      <c r="Q511" s="1445"/>
      <c r="R511" s="1445"/>
      <c r="S511" s="1445"/>
      <c r="T511" s="1445"/>
      <c r="U511" s="1445"/>
      <c r="V511" s="1445"/>
      <c r="W511" s="1445"/>
      <c r="X511" s="1445"/>
      <c r="Y511" s="1445"/>
      <c r="Z511" s="1445"/>
    </row>
    <row r="512" spans="1:26" ht="18.75" hidden="1">
      <c r="A512" s="1441"/>
      <c r="B512" s="1446"/>
      <c r="C512" s="1446"/>
      <c r="D512" s="1479" t="s">
        <v>21</v>
      </c>
      <c r="E512" s="1446"/>
      <c r="F512" s="1442"/>
      <c r="G512" s="1444"/>
      <c r="H512" s="1085" t="s">
        <v>12</v>
      </c>
      <c r="I512" s="1082"/>
      <c r="J512" s="1082"/>
      <c r="K512" s="1083"/>
      <c r="L512" s="957">
        <f t="shared" ref="L512:N512" si="221">L513+L514</f>
        <v>0</v>
      </c>
      <c r="M512" s="957">
        <f t="shared" si="221"/>
        <v>0</v>
      </c>
      <c r="N512" s="957">
        <f t="shared" si="221"/>
        <v>0</v>
      </c>
      <c r="O512" s="957">
        <f t="shared" ref="O512:O514" si="222">IF(L512&gt;0,N512*100/L512,0)</f>
        <v>0</v>
      </c>
      <c r="P512" s="957">
        <f t="shared" ref="P512:P514" si="223">IF(M512&gt;0,N512*100/M512,0)</f>
        <v>0</v>
      </c>
      <c r="Q512" s="1445"/>
      <c r="R512" s="1445"/>
      <c r="S512" s="1445"/>
      <c r="T512" s="1445"/>
      <c r="U512" s="1445"/>
      <c r="V512" s="1445"/>
      <c r="W512" s="1445"/>
      <c r="X512" s="1445"/>
      <c r="Y512" s="1445"/>
      <c r="Z512" s="1445"/>
    </row>
    <row r="513" spans="1:26" ht="18.75" hidden="1">
      <c r="A513" s="1441"/>
      <c r="B513" s="1446"/>
      <c r="C513" s="1446"/>
      <c r="D513" s="1446"/>
      <c r="E513" s="1446" t="s">
        <v>18</v>
      </c>
      <c r="F513" s="1442"/>
      <c r="G513" s="1444"/>
      <c r="H513" s="1081" t="s">
        <v>12</v>
      </c>
      <c r="I513" s="1082"/>
      <c r="J513" s="1082"/>
      <c r="K513" s="1083"/>
      <c r="L513" s="957">
        <v>0</v>
      </c>
      <c r="M513" s="957">
        <v>0</v>
      </c>
      <c r="N513" s="957">
        <v>0</v>
      </c>
      <c r="O513" s="957">
        <f t="shared" si="222"/>
        <v>0</v>
      </c>
      <c r="P513" s="957">
        <f t="shared" si="223"/>
        <v>0</v>
      </c>
      <c r="Q513" s="1445"/>
      <c r="R513" s="1445"/>
      <c r="S513" s="1445"/>
      <c r="T513" s="1445"/>
      <c r="U513" s="1445"/>
      <c r="V513" s="1445"/>
      <c r="W513" s="1445"/>
      <c r="X513" s="1445"/>
      <c r="Y513" s="1445"/>
      <c r="Z513" s="1445"/>
    </row>
    <row r="514" spans="1:26" ht="18.75" hidden="1">
      <c r="A514" s="1441"/>
      <c r="B514" s="1446"/>
      <c r="C514" s="1446"/>
      <c r="D514" s="1442"/>
      <c r="E514" s="1446" t="s">
        <v>19</v>
      </c>
      <c r="F514" s="1442"/>
      <c r="G514" s="1444"/>
      <c r="H514" s="1085" t="s">
        <v>12</v>
      </c>
      <c r="I514" s="1082"/>
      <c r="J514" s="1082"/>
      <c r="K514" s="1083"/>
      <c r="L514" s="957">
        <v>0</v>
      </c>
      <c r="M514" s="957">
        <v>0</v>
      </c>
      <c r="N514" s="957">
        <v>0</v>
      </c>
      <c r="O514" s="957">
        <f t="shared" si="222"/>
        <v>0</v>
      </c>
      <c r="P514" s="957">
        <f t="shared" si="223"/>
        <v>0</v>
      </c>
      <c r="Q514" s="1445"/>
      <c r="R514" s="1445"/>
      <c r="S514" s="1445"/>
      <c r="T514" s="1445"/>
      <c r="U514" s="1445"/>
      <c r="V514" s="1445"/>
      <c r="W514" s="1445"/>
      <c r="X514" s="1445"/>
      <c r="Y514" s="1445"/>
      <c r="Z514" s="1445"/>
    </row>
    <row r="515" spans="1:26" ht="19.5" hidden="1">
      <c r="A515" s="1454"/>
      <c r="B515" s="1455"/>
      <c r="C515" s="1446" t="s">
        <v>16</v>
      </c>
      <c r="D515" s="1481" t="s">
        <v>38</v>
      </c>
      <c r="E515" s="1482"/>
      <c r="F515" s="1482"/>
      <c r="G515" s="1483"/>
      <c r="H515" s="1216"/>
      <c r="I515" s="1082"/>
      <c r="J515" s="1082"/>
      <c r="K515" s="1083"/>
      <c r="L515" s="1083"/>
      <c r="M515" s="1083"/>
      <c r="N515" s="1083"/>
      <c r="O515" s="1083"/>
      <c r="P515" s="1083"/>
      <c r="Q515" s="1445"/>
      <c r="R515" s="1445"/>
      <c r="S515" s="1445"/>
      <c r="T515" s="1445"/>
      <c r="U515" s="1445"/>
      <c r="V515" s="1445"/>
      <c r="W515" s="1445"/>
      <c r="X515" s="1445"/>
      <c r="Y515" s="1445"/>
      <c r="Z515" s="1445"/>
    </row>
    <row r="516" spans="1:26" ht="18.75" hidden="1">
      <c r="A516" s="1454"/>
      <c r="B516" s="1455"/>
      <c r="C516" s="1455"/>
      <c r="D516" s="1455" t="s">
        <v>222</v>
      </c>
      <c r="E516" s="1443"/>
      <c r="F516" s="1443"/>
      <c r="G516" s="1216"/>
      <c r="H516" s="1484" t="s">
        <v>109</v>
      </c>
      <c r="I516" s="956"/>
      <c r="J516" s="956">
        <v>0</v>
      </c>
      <c r="K516" s="1083">
        <f t="shared" ref="K516:K517" si="224">IF(I516&gt;0,J516*100/I516,0)</f>
        <v>0</v>
      </c>
      <c r="L516" s="1083"/>
      <c r="M516" s="1083"/>
      <c r="N516" s="1083"/>
      <c r="O516" s="1083"/>
      <c r="P516" s="1083"/>
      <c r="Q516" s="1445"/>
      <c r="R516" s="1445"/>
      <c r="S516" s="1445"/>
      <c r="T516" s="1445"/>
      <c r="U516" s="1445"/>
      <c r="V516" s="1445"/>
      <c r="W516" s="1445"/>
      <c r="X516" s="1445"/>
      <c r="Y516" s="1445"/>
      <c r="Z516" s="1445"/>
    </row>
    <row r="517" spans="1:26" ht="19.5" hidden="1">
      <c r="A517" s="1454"/>
      <c r="B517" s="1455"/>
      <c r="C517" s="1455"/>
      <c r="D517" s="1455" t="s">
        <v>223</v>
      </c>
      <c r="E517" s="1443"/>
      <c r="F517" s="1443"/>
      <c r="G517" s="1216"/>
      <c r="H517" s="1485" t="s">
        <v>35</v>
      </c>
      <c r="I517" s="1486"/>
      <c r="J517" s="1486">
        <f>J518+J519</f>
        <v>0</v>
      </c>
      <c r="K517" s="1487">
        <f t="shared" si="224"/>
        <v>0</v>
      </c>
      <c r="L517" s="1083"/>
      <c r="M517" s="1083"/>
      <c r="N517" s="1083"/>
      <c r="O517" s="1083"/>
      <c r="P517" s="1083"/>
      <c r="Q517" s="1445"/>
      <c r="R517" s="1445"/>
      <c r="S517" s="1445"/>
      <c r="T517" s="1445"/>
      <c r="U517" s="1445"/>
      <c r="V517" s="1445"/>
      <c r="W517" s="1445"/>
      <c r="X517" s="1445"/>
      <c r="Y517" s="1445"/>
      <c r="Z517" s="1445"/>
    </row>
    <row r="518" spans="1:26" ht="18.75" hidden="1">
      <c r="A518" s="1454"/>
      <c r="B518" s="1455"/>
      <c r="C518" s="1455"/>
      <c r="D518" s="1455"/>
      <c r="E518" s="1455" t="s">
        <v>224</v>
      </c>
      <c r="F518" s="1443"/>
      <c r="G518" s="1216"/>
      <c r="H518" s="1219" t="s">
        <v>35</v>
      </c>
      <c r="I518" s="956"/>
      <c r="J518" s="956"/>
      <c r="K518" s="1083"/>
      <c r="L518" s="1083"/>
      <c r="M518" s="1083"/>
      <c r="N518" s="1083"/>
      <c r="O518" s="1083"/>
      <c r="P518" s="1083"/>
      <c r="Q518" s="1445"/>
      <c r="R518" s="1445"/>
      <c r="S518" s="1445"/>
      <c r="T518" s="1445"/>
      <c r="U518" s="1445"/>
      <c r="V518" s="1445"/>
      <c r="W518" s="1445"/>
      <c r="X518" s="1445"/>
      <c r="Y518" s="1445"/>
      <c r="Z518" s="1445"/>
    </row>
    <row r="519" spans="1:26" ht="18.75" hidden="1">
      <c r="A519" s="1454"/>
      <c r="B519" s="1455"/>
      <c r="C519" s="1455"/>
      <c r="D519" s="1455"/>
      <c r="E519" s="1455" t="s">
        <v>225</v>
      </c>
      <c r="F519" s="1443"/>
      <c r="G519" s="1216"/>
      <c r="H519" s="1484" t="s">
        <v>35</v>
      </c>
      <c r="I519" s="956"/>
      <c r="J519" s="956"/>
      <c r="K519" s="1083"/>
      <c r="L519" s="1083"/>
      <c r="M519" s="1083"/>
      <c r="N519" s="1083"/>
      <c r="O519" s="1083"/>
      <c r="P519" s="1083"/>
      <c r="Q519" s="1445"/>
      <c r="R519" s="1445"/>
      <c r="S519" s="1445"/>
      <c r="T519" s="1445"/>
      <c r="U519" s="1445"/>
      <c r="V519" s="1445"/>
      <c r="W519" s="1445"/>
      <c r="X519" s="1445"/>
      <c r="Y519" s="1445"/>
      <c r="Z519" s="1445"/>
    </row>
    <row r="520" spans="1:26" ht="19.5">
      <c r="A520" s="1488" t="s">
        <v>137</v>
      </c>
      <c r="B520" s="1489"/>
      <c r="C520" s="1489"/>
      <c r="D520" s="1490"/>
      <c r="E520" s="1490"/>
      <c r="F520" s="1490"/>
      <c r="G520" s="1491"/>
      <c r="H520" s="1492"/>
      <c r="I520" s="1493"/>
      <c r="J520" s="1493"/>
      <c r="K520" s="1494"/>
      <c r="L520" s="1494"/>
      <c r="M520" s="1494"/>
      <c r="N520" s="1494"/>
      <c r="O520" s="1494"/>
      <c r="P520" s="1494"/>
    </row>
    <row r="521" spans="1:26" ht="19.5" hidden="1">
      <c r="A521" s="1495">
        <v>5</v>
      </c>
      <c r="B521" s="1496" t="s">
        <v>226</v>
      </c>
      <c r="C521" s="1497"/>
      <c r="D521" s="1498"/>
      <c r="E521" s="1498"/>
      <c r="F521" s="1498"/>
      <c r="G521" s="1498"/>
      <c r="H521" s="1499"/>
      <c r="I521" s="1500"/>
      <c r="J521" s="1500"/>
      <c r="K521" s="1501"/>
      <c r="L521" s="1501"/>
      <c r="M521" s="1501"/>
      <c r="N521" s="1501"/>
      <c r="O521" s="1501"/>
      <c r="P521" s="1501"/>
      <c r="Q521" s="1419"/>
      <c r="R521" s="1419"/>
      <c r="S521" s="1419"/>
      <c r="T521" s="1419"/>
      <c r="U521" s="1419"/>
      <c r="V521" s="1419"/>
      <c r="W521" s="1419"/>
      <c r="X521" s="1419"/>
      <c r="Y521" s="1419"/>
      <c r="Z521" s="1419"/>
    </row>
    <row r="522" spans="1:26" ht="19.5" hidden="1">
      <c r="A522" s="1502"/>
      <c r="B522" s="1503" t="s">
        <v>227</v>
      </c>
      <c r="C522" s="1504"/>
      <c r="D522" s="1504"/>
      <c r="E522" s="1504"/>
      <c r="F522" s="1504"/>
      <c r="G522" s="1505"/>
      <c r="H522" s="1506" t="s">
        <v>35</v>
      </c>
      <c r="I522" s="1507">
        <f t="shared" ref="I522:J522" ca="1" si="225">I537</f>
        <v>0</v>
      </c>
      <c r="J522" s="1507">
        <f t="shared" ca="1" si="225"/>
        <v>0</v>
      </c>
      <c r="K522" s="1508">
        <f ca="1">IF(I522&gt;0,J522*100/I522,0)</f>
        <v>0</v>
      </c>
      <c r="L522" s="1509"/>
      <c r="M522" s="1509"/>
      <c r="N522" s="1509"/>
      <c r="O522" s="1509"/>
      <c r="P522" s="1509"/>
      <c r="Q522" s="1419"/>
      <c r="R522" s="1419"/>
      <c r="S522" s="1419"/>
      <c r="T522" s="1419"/>
      <c r="U522" s="1419"/>
      <c r="V522" s="1419"/>
      <c r="W522" s="1419"/>
      <c r="X522" s="1419"/>
      <c r="Y522" s="1419"/>
      <c r="Z522" s="1419"/>
    </row>
    <row r="523" spans="1:26" ht="19.5" hidden="1">
      <c r="A523" s="1438"/>
      <c r="B523" s="1418"/>
      <c r="C523" s="1418" t="s">
        <v>16</v>
      </c>
      <c r="D523" s="1439" t="s">
        <v>17</v>
      </c>
      <c r="E523" s="987"/>
      <c r="F523" s="987"/>
      <c r="G523" s="1103"/>
      <c r="H523" s="1440" t="s">
        <v>12</v>
      </c>
      <c r="I523" s="949"/>
      <c r="J523" s="949"/>
      <c r="K523" s="950"/>
      <c r="L523" s="1108">
        <f t="shared" ref="L523:N523" ca="1" si="226">L524+L525</f>
        <v>0</v>
      </c>
      <c r="M523" s="1108">
        <f t="shared" si="226"/>
        <v>0</v>
      </c>
      <c r="N523" s="1108">
        <f t="shared" si="226"/>
        <v>0</v>
      </c>
      <c r="O523" s="1108">
        <f t="shared" ref="O523:O528" ca="1" si="227">IF(L523&gt;0,N523*100/L523,0)</f>
        <v>0</v>
      </c>
      <c r="P523" s="1108">
        <f t="shared" ref="P523:P528" si="228">IF(M523&gt;0,N523*100/M523,0)</f>
        <v>0</v>
      </c>
      <c r="Q523" s="1419"/>
      <c r="R523" s="1419"/>
      <c r="S523" s="1419"/>
      <c r="T523" s="1419"/>
      <c r="U523" s="1419"/>
      <c r="V523" s="1419"/>
      <c r="W523" s="1419"/>
      <c r="X523" s="1419"/>
      <c r="Y523" s="1419"/>
      <c r="Z523" s="1419"/>
    </row>
    <row r="524" spans="1:26" ht="18.75" hidden="1">
      <c r="A524" s="1441"/>
      <c r="B524" s="1442"/>
      <c r="C524" s="1442"/>
      <c r="D524" s="1443"/>
      <c r="E524" s="1442" t="s">
        <v>185</v>
      </c>
      <c r="F524" s="1442"/>
      <c r="G524" s="1444"/>
      <c r="H524" s="1081" t="s">
        <v>12</v>
      </c>
      <c r="I524" s="956"/>
      <c r="J524" s="956"/>
      <c r="K524" s="957"/>
      <c r="L524" s="957">
        <f t="shared" ref="L524:N525" si="229">L527+L534</f>
        <v>0</v>
      </c>
      <c r="M524" s="957">
        <f t="shared" si="229"/>
        <v>0</v>
      </c>
      <c r="N524" s="957">
        <f t="shared" si="229"/>
        <v>0</v>
      </c>
      <c r="O524" s="957">
        <f t="shared" si="227"/>
        <v>0</v>
      </c>
      <c r="P524" s="957">
        <f t="shared" si="228"/>
        <v>0</v>
      </c>
      <c r="Q524" s="1445"/>
      <c r="R524" s="1445"/>
      <c r="S524" s="1445"/>
      <c r="T524" s="1445"/>
      <c r="U524" s="1445"/>
      <c r="V524" s="1445"/>
      <c r="W524" s="1445"/>
      <c r="X524" s="1445"/>
      <c r="Y524" s="1445"/>
      <c r="Z524" s="1445"/>
    </row>
    <row r="525" spans="1:26" ht="18.75" hidden="1">
      <c r="A525" s="1441"/>
      <c r="B525" s="1446"/>
      <c r="C525" s="1442"/>
      <c r="D525" s="1443"/>
      <c r="E525" s="1442" t="s">
        <v>186</v>
      </c>
      <c r="F525" s="1442"/>
      <c r="G525" s="1444"/>
      <c r="H525" s="1081" t="s">
        <v>12</v>
      </c>
      <c r="I525" s="956"/>
      <c r="J525" s="956"/>
      <c r="K525" s="957"/>
      <c r="L525" s="957">
        <f t="shared" ca="1" si="229"/>
        <v>0</v>
      </c>
      <c r="M525" s="957">
        <f t="shared" si="229"/>
        <v>0</v>
      </c>
      <c r="N525" s="957">
        <f t="shared" si="229"/>
        <v>0</v>
      </c>
      <c r="O525" s="957">
        <f t="shared" ca="1" si="227"/>
        <v>0</v>
      </c>
      <c r="P525" s="957">
        <f t="shared" si="228"/>
        <v>0</v>
      </c>
      <c r="Q525" s="1445"/>
      <c r="R525" s="1445"/>
      <c r="S525" s="1445"/>
      <c r="T525" s="1445"/>
      <c r="U525" s="1445"/>
      <c r="V525" s="1445"/>
      <c r="W525" s="1445"/>
      <c r="X525" s="1445"/>
      <c r="Y525" s="1445"/>
      <c r="Z525" s="1445"/>
    </row>
    <row r="526" spans="1:26" ht="18.75" hidden="1">
      <c r="A526" s="1438"/>
      <c r="B526" s="1417"/>
      <c r="C526" s="1418"/>
      <c r="D526" s="1447" t="s">
        <v>20</v>
      </c>
      <c r="E526" s="1418"/>
      <c r="F526" s="1418"/>
      <c r="G526" s="1103"/>
      <c r="H526" s="1077" t="s">
        <v>12</v>
      </c>
      <c r="I526" s="1078"/>
      <c r="J526" s="1078"/>
      <c r="K526" s="1079"/>
      <c r="L526" s="950">
        <f t="shared" ref="L526:N526" ca="1" si="230">L527+L528</f>
        <v>0</v>
      </c>
      <c r="M526" s="950">
        <f t="shared" si="230"/>
        <v>0</v>
      </c>
      <c r="N526" s="950">
        <f t="shared" si="230"/>
        <v>0</v>
      </c>
      <c r="O526" s="950">
        <f t="shared" ca="1" si="227"/>
        <v>0</v>
      </c>
      <c r="P526" s="950">
        <f t="shared" si="228"/>
        <v>0</v>
      </c>
      <c r="Q526" s="1419"/>
      <c r="R526" s="1419"/>
      <c r="S526" s="1419"/>
      <c r="T526" s="1419"/>
      <c r="U526" s="1419"/>
      <c r="V526" s="1419"/>
      <c r="W526" s="1419"/>
      <c r="X526" s="1419"/>
      <c r="Y526" s="1419"/>
      <c r="Z526" s="1419"/>
    </row>
    <row r="527" spans="1:26" ht="18.75" hidden="1">
      <c r="A527" s="1441"/>
      <c r="B527" s="1446"/>
      <c r="C527" s="1442"/>
      <c r="D527" s="1443"/>
      <c r="E527" s="1442" t="s">
        <v>185</v>
      </c>
      <c r="F527" s="1442"/>
      <c r="G527" s="1444"/>
      <c r="H527" s="1081" t="s">
        <v>12</v>
      </c>
      <c r="I527" s="956"/>
      <c r="J527" s="956"/>
      <c r="K527" s="957"/>
      <c r="L527" s="957">
        <v>0</v>
      </c>
      <c r="M527" s="957">
        <v>0</v>
      </c>
      <c r="N527" s="957">
        <v>0</v>
      </c>
      <c r="O527" s="957">
        <f t="shared" si="227"/>
        <v>0</v>
      </c>
      <c r="P527" s="957">
        <f t="shared" si="228"/>
        <v>0</v>
      </c>
      <c r="Q527" s="1445"/>
      <c r="R527" s="1445"/>
      <c r="S527" s="1445"/>
      <c r="T527" s="1445"/>
      <c r="U527" s="1445"/>
      <c r="V527" s="1445"/>
      <c r="W527" s="1445"/>
      <c r="X527" s="1445"/>
      <c r="Y527" s="1445"/>
      <c r="Z527" s="1445"/>
    </row>
    <row r="528" spans="1:26" ht="18.75" hidden="1">
      <c r="A528" s="1441"/>
      <c r="B528" s="1446"/>
      <c r="C528" s="1442"/>
      <c r="D528" s="1443"/>
      <c r="E528" s="1442" t="s">
        <v>186</v>
      </c>
      <c r="F528" s="1442"/>
      <c r="G528" s="1444"/>
      <c r="H528" s="1081" t="s">
        <v>12</v>
      </c>
      <c r="I528" s="956"/>
      <c r="J528" s="956"/>
      <c r="K528" s="957"/>
      <c r="L528" s="957">
        <f ca="1">IFERROR(__xludf.DUMMYFUNCTION("IMPORTRANGE(""https://docs.google.com/spreadsheets/d/1QqKyyYR6Q21VydFLVH3TRQUabQu_ym0Zz7PgGX0-kHA/edit?usp=sharing"",""แผน!GQ62"")"),0)</f>
        <v>0</v>
      </c>
      <c r="M528" s="957">
        <v>0</v>
      </c>
      <c r="N528" s="957">
        <f>N529+N530+N531+N532</f>
        <v>0</v>
      </c>
      <c r="O528" s="957">
        <f t="shared" ca="1" si="227"/>
        <v>0</v>
      </c>
      <c r="P528" s="957">
        <f t="shared" si="228"/>
        <v>0</v>
      </c>
      <c r="Q528" s="1445"/>
      <c r="R528" s="1445"/>
      <c r="S528" s="1445"/>
      <c r="T528" s="1445"/>
      <c r="U528" s="1445"/>
      <c r="V528" s="1445"/>
      <c r="W528" s="1445"/>
      <c r="X528" s="1445"/>
      <c r="Y528" s="1445"/>
      <c r="Z528" s="1445"/>
    </row>
    <row r="529" spans="1:26" ht="18.75" hidden="1">
      <c r="A529" s="1416"/>
      <c r="B529" s="1417"/>
      <c r="C529" s="1418"/>
      <c r="D529" s="1418"/>
      <c r="E529" s="1418"/>
      <c r="F529" s="1418" t="s">
        <v>187</v>
      </c>
      <c r="G529" s="1103"/>
      <c r="H529" s="1077" t="s">
        <v>12</v>
      </c>
      <c r="I529" s="949"/>
      <c r="J529" s="949"/>
      <c r="K529" s="950"/>
      <c r="L529" s="950"/>
      <c r="M529" s="950"/>
      <c r="N529" s="1186">
        <v>0</v>
      </c>
      <c r="O529" s="950"/>
      <c r="P529" s="950"/>
      <c r="Q529" s="1419"/>
      <c r="R529" s="1419"/>
      <c r="S529" s="1419"/>
      <c r="T529" s="1419"/>
      <c r="U529" s="1419"/>
      <c r="V529" s="1419"/>
      <c r="W529" s="1419"/>
      <c r="X529" s="1419"/>
      <c r="Y529" s="1419"/>
      <c r="Z529" s="1419"/>
    </row>
    <row r="530" spans="1:26" ht="18.75" hidden="1">
      <c r="A530" s="1416"/>
      <c r="B530" s="1417"/>
      <c r="C530" s="1418"/>
      <c r="D530" s="1418"/>
      <c r="E530" s="1418"/>
      <c r="F530" s="1418" t="s">
        <v>188</v>
      </c>
      <c r="G530" s="1103"/>
      <c r="H530" s="1077" t="s">
        <v>12</v>
      </c>
      <c r="I530" s="949"/>
      <c r="J530" s="949"/>
      <c r="K530" s="950"/>
      <c r="L530" s="950"/>
      <c r="M530" s="950"/>
      <c r="N530" s="1186">
        <v>0</v>
      </c>
      <c r="O530" s="950"/>
      <c r="P530" s="950"/>
      <c r="Q530" s="1419"/>
      <c r="R530" s="1419"/>
      <c r="S530" s="1419"/>
      <c r="T530" s="1419"/>
      <c r="U530" s="1419"/>
      <c r="V530" s="1419"/>
      <c r="W530" s="1419"/>
      <c r="X530" s="1419"/>
      <c r="Y530" s="1419"/>
      <c r="Z530" s="1419"/>
    </row>
    <row r="531" spans="1:26" ht="18.75" hidden="1">
      <c r="A531" s="1416"/>
      <c r="B531" s="1417"/>
      <c r="C531" s="1418"/>
      <c r="D531" s="1418"/>
      <c r="E531" s="1418"/>
      <c r="F531" s="1418" t="s">
        <v>189</v>
      </c>
      <c r="G531" s="1103"/>
      <c r="H531" s="1077" t="s">
        <v>12</v>
      </c>
      <c r="I531" s="949"/>
      <c r="J531" s="949"/>
      <c r="K531" s="950"/>
      <c r="L531" s="950"/>
      <c r="M531" s="950"/>
      <c r="N531" s="1186">
        <v>0</v>
      </c>
      <c r="O531" s="950"/>
      <c r="P531" s="950"/>
      <c r="Q531" s="1419"/>
      <c r="R531" s="1419"/>
      <c r="S531" s="1419"/>
      <c r="T531" s="1419"/>
      <c r="U531" s="1419"/>
      <c r="V531" s="1419"/>
      <c r="W531" s="1419"/>
      <c r="X531" s="1419"/>
      <c r="Y531" s="1419"/>
      <c r="Z531" s="1419"/>
    </row>
    <row r="532" spans="1:26" ht="18.75" hidden="1">
      <c r="A532" s="1416"/>
      <c r="B532" s="1417"/>
      <c r="C532" s="1418"/>
      <c r="D532" s="1418"/>
      <c r="E532" s="1418"/>
      <c r="F532" s="1418" t="s">
        <v>190</v>
      </c>
      <c r="G532" s="1103"/>
      <c r="H532" s="1077" t="s">
        <v>12</v>
      </c>
      <c r="I532" s="949"/>
      <c r="J532" s="949"/>
      <c r="K532" s="950"/>
      <c r="L532" s="950"/>
      <c r="M532" s="950"/>
      <c r="N532" s="1186">
        <v>0</v>
      </c>
      <c r="O532" s="950"/>
      <c r="P532" s="950"/>
      <c r="Q532" s="1419"/>
      <c r="R532" s="1419"/>
      <c r="S532" s="1419"/>
      <c r="T532" s="1419"/>
      <c r="U532" s="1419"/>
      <c r="V532" s="1419"/>
      <c r="W532" s="1419"/>
      <c r="X532" s="1419"/>
      <c r="Y532" s="1419"/>
      <c r="Z532" s="1419"/>
    </row>
    <row r="533" spans="1:26" ht="18.75" hidden="1">
      <c r="A533" s="1438"/>
      <c r="B533" s="1417"/>
      <c r="C533" s="1418"/>
      <c r="D533" s="1447" t="s">
        <v>21</v>
      </c>
      <c r="E533" s="1418"/>
      <c r="F533" s="1418"/>
      <c r="G533" s="1103"/>
      <c r="H533" s="1084" t="s">
        <v>12</v>
      </c>
      <c r="I533" s="1078"/>
      <c r="J533" s="1078"/>
      <c r="K533" s="1079"/>
      <c r="L533" s="950">
        <f t="shared" ref="L533:N533" ca="1" si="231">L534+L535</f>
        <v>0</v>
      </c>
      <c r="M533" s="950">
        <f t="shared" si="231"/>
        <v>0</v>
      </c>
      <c r="N533" s="950">
        <f t="shared" si="231"/>
        <v>0</v>
      </c>
      <c r="O533" s="950">
        <f t="shared" ref="O533:O535" ca="1" si="232">IF(L533&gt;0,N533*100/L533,0)</f>
        <v>0</v>
      </c>
      <c r="P533" s="950">
        <f t="shared" ref="P533:P535" si="233">IF(M533&gt;0,N533*100/M533,0)</f>
        <v>0</v>
      </c>
      <c r="Q533" s="1419"/>
      <c r="R533" s="1419"/>
      <c r="S533" s="1419"/>
      <c r="T533" s="1419"/>
      <c r="U533" s="1419"/>
      <c r="V533" s="1419"/>
      <c r="W533" s="1419"/>
      <c r="X533" s="1419"/>
      <c r="Y533" s="1419"/>
      <c r="Z533" s="1419"/>
    </row>
    <row r="534" spans="1:26" ht="18.75" hidden="1">
      <c r="A534" s="1441"/>
      <c r="B534" s="1446"/>
      <c r="C534" s="1442"/>
      <c r="D534" s="1442"/>
      <c r="E534" s="1442" t="s">
        <v>18</v>
      </c>
      <c r="F534" s="1442"/>
      <c r="G534" s="1444"/>
      <c r="H534" s="1081" t="s">
        <v>12</v>
      </c>
      <c r="I534" s="1082"/>
      <c r="J534" s="1082"/>
      <c r="K534" s="1083"/>
      <c r="L534" s="957">
        <v>0</v>
      </c>
      <c r="M534" s="957">
        <v>0</v>
      </c>
      <c r="N534" s="957">
        <v>0</v>
      </c>
      <c r="O534" s="957">
        <f t="shared" si="232"/>
        <v>0</v>
      </c>
      <c r="P534" s="957">
        <f t="shared" si="233"/>
        <v>0</v>
      </c>
      <c r="Q534" s="1445"/>
      <c r="R534" s="1445"/>
      <c r="S534" s="1445"/>
      <c r="T534" s="1445"/>
      <c r="U534" s="1445"/>
      <c r="V534" s="1445"/>
      <c r="W534" s="1445"/>
      <c r="X534" s="1445"/>
      <c r="Y534" s="1445"/>
      <c r="Z534" s="1445"/>
    </row>
    <row r="535" spans="1:26" ht="18.75" hidden="1">
      <c r="A535" s="1441"/>
      <c r="B535" s="1446"/>
      <c r="C535" s="1442"/>
      <c r="D535" s="1442"/>
      <c r="E535" s="1442" t="s">
        <v>19</v>
      </c>
      <c r="F535" s="1442"/>
      <c r="G535" s="1444"/>
      <c r="H535" s="1085" t="s">
        <v>12</v>
      </c>
      <c r="I535" s="1082"/>
      <c r="J535" s="1082"/>
      <c r="K535" s="1083"/>
      <c r="L535" s="957">
        <f ca="1">IFERROR(__xludf.DUMMYFUNCTION("IMPORTRANGE(""https://docs.google.com/spreadsheets/d/1QqKyyYR6Q21VydFLVH3TRQUabQu_ym0Zz7PgGX0-kHA/edit?usp=sharing"",""แผน!GT62"")"),0)</f>
        <v>0</v>
      </c>
      <c r="M535" s="957">
        <v>0</v>
      </c>
      <c r="N535" s="957">
        <v>0</v>
      </c>
      <c r="O535" s="957">
        <f t="shared" ca="1" si="232"/>
        <v>0</v>
      </c>
      <c r="P535" s="957">
        <f t="shared" si="233"/>
        <v>0</v>
      </c>
      <c r="Q535" s="1445"/>
      <c r="R535" s="1445"/>
      <c r="S535" s="1445"/>
      <c r="T535" s="1445"/>
      <c r="U535" s="1445"/>
      <c r="V535" s="1445"/>
      <c r="W535" s="1445"/>
      <c r="X535" s="1445"/>
      <c r="Y535" s="1445"/>
      <c r="Z535" s="1445"/>
    </row>
    <row r="536" spans="1:26" ht="19.5" hidden="1">
      <c r="A536" s="1448"/>
      <c r="B536" s="1449"/>
      <c r="C536" s="1418" t="s">
        <v>16</v>
      </c>
      <c r="D536" s="1510" t="s">
        <v>38</v>
      </c>
      <c r="E536" s="1452"/>
      <c r="F536" s="1452"/>
      <c r="G536" s="1453"/>
      <c r="H536" s="1091"/>
      <c r="I536" s="1078"/>
      <c r="J536" s="1078"/>
      <c r="K536" s="1079"/>
      <c r="L536" s="1079"/>
      <c r="M536" s="1079"/>
      <c r="N536" s="1079"/>
      <c r="O536" s="1079"/>
      <c r="P536" s="1079"/>
      <c r="Q536" s="1419"/>
      <c r="R536" s="1419"/>
      <c r="S536" s="1419"/>
      <c r="T536" s="1419"/>
      <c r="U536" s="1419"/>
      <c r="V536" s="1419"/>
      <c r="W536" s="1419"/>
      <c r="X536" s="1419"/>
      <c r="Y536" s="1419"/>
      <c r="Z536" s="1419"/>
    </row>
    <row r="537" spans="1:26" ht="19.5" hidden="1">
      <c r="A537" s="1416"/>
      <c r="B537" s="1417"/>
      <c r="C537" s="1418"/>
      <c r="D537" s="1418" t="s">
        <v>228</v>
      </c>
      <c r="E537" s="1418"/>
      <c r="F537" s="1418"/>
      <c r="G537" s="1103"/>
      <c r="H537" s="948" t="s">
        <v>35</v>
      </c>
      <c r="I537" s="1107">
        <f ca="1">IFERROR(__xludf.DUMMYFUNCTION("IMPORTRANGE(""https://docs.google.com/spreadsheets/d/1QqKyyYR6Q21VydFLVH3TRQUabQu_ym0Zz7PgGX0-kHA/edit?usp=sharing"",""แผน!GU62"")"),0)</f>
        <v>0</v>
      </c>
      <c r="J537" s="1107">
        <f ca="1">IF(AND(J538=I538,J539=I539,J540=I540,J541=I541),I537,0)</f>
        <v>0</v>
      </c>
      <c r="K537" s="950">
        <f t="shared" ref="K537:K543" ca="1" si="234">IF(I537&gt;0,J537*100/I537,0)</f>
        <v>0</v>
      </c>
      <c r="L537" s="950"/>
      <c r="M537" s="950"/>
      <c r="N537" s="950"/>
      <c r="O537" s="950"/>
      <c r="P537" s="950"/>
      <c r="Q537" s="1511"/>
      <c r="R537" s="1511"/>
      <c r="S537" s="1511"/>
      <c r="T537" s="1511"/>
      <c r="U537" s="1511"/>
      <c r="V537" s="1511"/>
      <c r="W537" s="1511"/>
      <c r="X537" s="1511"/>
      <c r="Y537" s="1511"/>
      <c r="Z537" s="1511"/>
    </row>
    <row r="538" spans="1:26" ht="18.75" hidden="1">
      <c r="A538" s="1416"/>
      <c r="B538" s="1417"/>
      <c r="C538" s="1418"/>
      <c r="D538" s="1418"/>
      <c r="E538" s="1418" t="s">
        <v>229</v>
      </c>
      <c r="F538" s="1418"/>
      <c r="G538" s="1103"/>
      <c r="H538" s="948" t="s">
        <v>35</v>
      </c>
      <c r="I538" s="949">
        <f ca="1">IFERROR(__xludf.DUMMYFUNCTION("IMPORTRANGE(""https://docs.google.com/spreadsheets/d/1QqKyyYR6Q21VydFLVH3TRQUabQu_ym0Zz7PgGX0-kHA/edit?usp=sharing"",""แผน!GV62"")"),0)</f>
        <v>0</v>
      </c>
      <c r="J538" s="1098">
        <v>0</v>
      </c>
      <c r="K538" s="950">
        <f t="shared" ca="1" si="234"/>
        <v>0</v>
      </c>
      <c r="L538" s="950"/>
      <c r="M538" s="950"/>
      <c r="N538" s="950"/>
      <c r="O538" s="950"/>
      <c r="P538" s="950"/>
      <c r="Q538" s="1511"/>
      <c r="R538" s="1511"/>
      <c r="S538" s="1511"/>
      <c r="T538" s="1511"/>
      <c r="U538" s="1511"/>
      <c r="V538" s="1511"/>
      <c r="W538" s="1511"/>
      <c r="X538" s="1511"/>
      <c r="Y538" s="1511"/>
      <c r="Z538" s="1511"/>
    </row>
    <row r="539" spans="1:26" ht="18.75" hidden="1">
      <c r="A539" s="1416"/>
      <c r="B539" s="1417"/>
      <c r="C539" s="1418"/>
      <c r="D539" s="1418"/>
      <c r="E539" s="1418" t="s">
        <v>230</v>
      </c>
      <c r="F539" s="1418"/>
      <c r="G539" s="1103"/>
      <c r="H539" s="948" t="s">
        <v>35</v>
      </c>
      <c r="I539" s="949">
        <f ca="1">IFERROR(__xludf.DUMMYFUNCTION("IMPORTRANGE(""https://docs.google.com/spreadsheets/d/1QqKyyYR6Q21VydFLVH3TRQUabQu_ym0Zz7PgGX0-kHA/edit?usp=sharing"",""แผน!GW62"")"),0)</f>
        <v>0</v>
      </c>
      <c r="J539" s="1098">
        <v>0</v>
      </c>
      <c r="K539" s="950">
        <f t="shared" ca="1" si="234"/>
        <v>0</v>
      </c>
      <c r="L539" s="950"/>
      <c r="M539" s="950"/>
      <c r="N539" s="950"/>
      <c r="O539" s="950"/>
      <c r="P539" s="950"/>
      <c r="Q539" s="1511"/>
      <c r="R539" s="1511"/>
      <c r="S539" s="1511"/>
      <c r="T539" s="1511"/>
      <c r="U539" s="1511"/>
      <c r="V539" s="1511"/>
      <c r="W539" s="1511"/>
      <c r="X539" s="1511"/>
      <c r="Y539" s="1511"/>
      <c r="Z539" s="1511"/>
    </row>
    <row r="540" spans="1:26" ht="18.75" hidden="1">
      <c r="A540" s="1416"/>
      <c r="B540" s="1417"/>
      <c r="C540" s="1418"/>
      <c r="D540" s="1418"/>
      <c r="E540" s="1418" t="s">
        <v>231</v>
      </c>
      <c r="F540" s="1418"/>
      <c r="G540" s="1103"/>
      <c r="H540" s="948" t="s">
        <v>35</v>
      </c>
      <c r="I540" s="949">
        <f ca="1">IFERROR(__xludf.DUMMYFUNCTION("IMPORTRANGE(""https://docs.google.com/spreadsheets/d/1QqKyyYR6Q21VydFLVH3TRQUabQu_ym0Zz7PgGX0-kHA/edit?usp=sharing"",""แผน!GX62"")"),0)</f>
        <v>0</v>
      </c>
      <c r="J540" s="1098">
        <v>0</v>
      </c>
      <c r="K540" s="950">
        <f t="shared" ca="1" si="234"/>
        <v>0</v>
      </c>
      <c r="L540" s="950"/>
      <c r="M540" s="950"/>
      <c r="N540" s="950"/>
      <c r="O540" s="950"/>
      <c r="P540" s="950"/>
      <c r="Q540" s="1511"/>
      <c r="R540" s="1511"/>
      <c r="S540" s="1511"/>
      <c r="T540" s="1511"/>
      <c r="U540" s="1511"/>
      <c r="V540" s="1511"/>
      <c r="W540" s="1511"/>
      <c r="X540" s="1511"/>
      <c r="Y540" s="1511"/>
      <c r="Z540" s="1511"/>
    </row>
    <row r="541" spans="1:26" ht="18.75" hidden="1">
      <c r="A541" s="1416"/>
      <c r="B541" s="1417"/>
      <c r="C541" s="1418"/>
      <c r="D541" s="1418"/>
      <c r="E541" s="1512" t="s">
        <v>232</v>
      </c>
      <c r="F541" s="1418"/>
      <c r="G541" s="1103"/>
      <c r="H541" s="948" t="s">
        <v>35</v>
      </c>
      <c r="I541" s="949">
        <f ca="1">IFERROR(__xludf.DUMMYFUNCTION("IMPORTRANGE(""https://docs.google.com/spreadsheets/d/1QqKyyYR6Q21VydFLVH3TRQUabQu_ym0Zz7PgGX0-kHA/edit?usp=sharing"",""แผน!GY62"")"),0)</f>
        <v>0</v>
      </c>
      <c r="J541" s="1098">
        <v>0</v>
      </c>
      <c r="K541" s="950">
        <f t="shared" ca="1" si="234"/>
        <v>0</v>
      </c>
      <c r="L541" s="950"/>
      <c r="M541" s="950"/>
      <c r="N541" s="950"/>
      <c r="O541" s="950"/>
      <c r="P541" s="950"/>
      <c r="Q541" s="1511"/>
      <c r="R541" s="1511"/>
      <c r="S541" s="1511"/>
      <c r="T541" s="1511"/>
      <c r="U541" s="1511"/>
      <c r="V541" s="1511"/>
      <c r="W541" s="1511"/>
      <c r="X541" s="1511"/>
      <c r="Y541" s="1511"/>
      <c r="Z541" s="1511"/>
    </row>
    <row r="542" spans="1:26" ht="18.75" hidden="1">
      <c r="A542" s="1416"/>
      <c r="B542" s="1417"/>
      <c r="C542" s="1418"/>
      <c r="D542" s="1418" t="s">
        <v>59</v>
      </c>
      <c r="E542" s="1418"/>
      <c r="F542" s="1418"/>
      <c r="G542" s="1103"/>
      <c r="H542" s="948" t="s">
        <v>35</v>
      </c>
      <c r="I542" s="949">
        <f ca="1">IFERROR(__xludf.DUMMYFUNCTION("IMPORTRANGE(""https://docs.google.com/spreadsheets/d/1QqKyyYR6Q21VydFLVH3TRQUabQu_ym0Zz7PgGX0-kHA/edit?usp=sharing"",""แผน!GZ62"")"),0)</f>
        <v>0</v>
      </c>
      <c r="J542" s="1098">
        <v>0</v>
      </c>
      <c r="K542" s="950">
        <f t="shared" ca="1" si="234"/>
        <v>0</v>
      </c>
      <c r="L542" s="950"/>
      <c r="M542" s="950"/>
      <c r="N542" s="950"/>
      <c r="O542" s="950"/>
      <c r="P542" s="950"/>
      <c r="Q542" s="1511"/>
      <c r="R542" s="1511"/>
      <c r="S542" s="1511"/>
      <c r="T542" s="1511"/>
      <c r="U542" s="1511"/>
      <c r="V542" s="1511"/>
      <c r="W542" s="1511"/>
      <c r="X542" s="1511"/>
      <c r="Y542" s="1511"/>
      <c r="Z542" s="1511"/>
    </row>
    <row r="543" spans="1:26" ht="19.5">
      <c r="A543" s="1495">
        <v>6</v>
      </c>
      <c r="B543" s="1513" t="s">
        <v>233</v>
      </c>
      <c r="C543" s="1498"/>
      <c r="D543" s="1498"/>
      <c r="E543" s="1498"/>
      <c r="F543" s="1498"/>
      <c r="G543" s="1499"/>
      <c r="H543" s="1514" t="s">
        <v>46</v>
      </c>
      <c r="I543" s="1515">
        <f t="shared" ref="I543:J543" ca="1" si="235">I559</f>
        <v>18118</v>
      </c>
      <c r="J543" s="1515">
        <f t="shared" si="235"/>
        <v>13165</v>
      </c>
      <c r="K543" s="1516">
        <f t="shared" ca="1" si="234"/>
        <v>72.662545534827245</v>
      </c>
      <c r="L543" s="1501"/>
      <c r="M543" s="1501"/>
      <c r="N543" s="1501"/>
      <c r="O543" s="1501"/>
      <c r="P543" s="1501"/>
      <c r="Q543" s="1419"/>
      <c r="R543" s="1419"/>
      <c r="S543" s="1419"/>
      <c r="T543" s="1419"/>
      <c r="U543" s="1419"/>
      <c r="V543" s="1419"/>
      <c r="W543" s="1419"/>
      <c r="X543" s="1419"/>
      <c r="Y543" s="1419"/>
      <c r="Z543" s="1419"/>
    </row>
    <row r="544" spans="1:26" ht="19.5">
      <c r="A544" s="1517"/>
      <c r="B544" s="1518"/>
      <c r="C544" s="1518" t="s">
        <v>16</v>
      </c>
      <c r="D544" s="1519" t="s">
        <v>17</v>
      </c>
      <c r="E544" s="1415"/>
      <c r="F544" s="1415"/>
      <c r="G544" s="1520"/>
      <c r="H544" s="1179" t="s">
        <v>12</v>
      </c>
      <c r="I544" s="1069"/>
      <c r="J544" s="1069"/>
      <c r="K544" s="1070"/>
      <c r="L544" s="1071">
        <f t="shared" ref="L544:N544" ca="1" si="236">L545+L546</f>
        <v>315742</v>
      </c>
      <c r="M544" s="1071">
        <f t="shared" ca="1" si="236"/>
        <v>315742</v>
      </c>
      <c r="N544" s="1071">
        <f t="shared" si="236"/>
        <v>155862</v>
      </c>
      <c r="O544" s="1071">
        <f t="shared" ref="O544:O549" ca="1" si="237">IF(L544&gt;0,N544*100/L544,0)</f>
        <v>49.363721012725577</v>
      </c>
      <c r="P544" s="1071">
        <f t="shared" ref="P544:P549" ca="1" si="238">IF(M544&gt;0,N544*100/M544,0)</f>
        <v>49.363721012725577</v>
      </c>
      <c r="Q544" s="1419"/>
      <c r="R544" s="1419"/>
      <c r="S544" s="1419"/>
      <c r="T544" s="1419"/>
      <c r="U544" s="1419"/>
      <c r="V544" s="1419"/>
      <c r="W544" s="1419"/>
      <c r="X544" s="1419"/>
      <c r="Y544" s="1419"/>
      <c r="Z544" s="1419"/>
    </row>
    <row r="545" spans="1:26" ht="18.75" hidden="1">
      <c r="A545" s="1441"/>
      <c r="B545" s="1442"/>
      <c r="C545" s="1442"/>
      <c r="D545" s="1442"/>
      <c r="E545" s="1442" t="s">
        <v>185</v>
      </c>
      <c r="F545" s="1442"/>
      <c r="G545" s="1444"/>
      <c r="H545" s="1081" t="s">
        <v>12</v>
      </c>
      <c r="I545" s="956"/>
      <c r="J545" s="956"/>
      <c r="K545" s="957"/>
      <c r="L545" s="957">
        <f t="shared" ref="L545:L546" si="239">L548+L556</f>
        <v>0</v>
      </c>
      <c r="M545" s="957">
        <f t="shared" ref="M545:N546" si="240">M548+M555</f>
        <v>0</v>
      </c>
      <c r="N545" s="957">
        <f t="shared" si="240"/>
        <v>0</v>
      </c>
      <c r="O545" s="957">
        <f t="shared" si="237"/>
        <v>0</v>
      </c>
      <c r="P545" s="957">
        <f t="shared" si="238"/>
        <v>0</v>
      </c>
      <c r="Q545" s="1445"/>
      <c r="R545" s="1445"/>
      <c r="S545" s="1445"/>
      <c r="T545" s="1445"/>
      <c r="U545" s="1445"/>
      <c r="V545" s="1445"/>
      <c r="W545" s="1445"/>
      <c r="X545" s="1445"/>
      <c r="Y545" s="1445"/>
      <c r="Z545" s="1445"/>
    </row>
    <row r="546" spans="1:26" ht="18.75" hidden="1">
      <c r="A546" s="1441"/>
      <c r="B546" s="1446"/>
      <c r="C546" s="1442"/>
      <c r="D546" s="1442"/>
      <c r="E546" s="1442" t="s">
        <v>186</v>
      </c>
      <c r="F546" s="1442"/>
      <c r="G546" s="1444"/>
      <c r="H546" s="1081" t="s">
        <v>12</v>
      </c>
      <c r="I546" s="956"/>
      <c r="J546" s="956"/>
      <c r="K546" s="957"/>
      <c r="L546" s="957">
        <f t="shared" ca="1" si="239"/>
        <v>315742</v>
      </c>
      <c r="M546" s="957">
        <f t="shared" ca="1" si="240"/>
        <v>315742</v>
      </c>
      <c r="N546" s="957">
        <f t="shared" si="240"/>
        <v>155862</v>
      </c>
      <c r="O546" s="957">
        <f t="shared" ca="1" si="237"/>
        <v>49.363721012725577</v>
      </c>
      <c r="P546" s="957">
        <f t="shared" ca="1" si="238"/>
        <v>49.363721012725577</v>
      </c>
      <c r="Q546" s="1445"/>
      <c r="R546" s="1445"/>
      <c r="S546" s="1445"/>
      <c r="T546" s="1445"/>
      <c r="U546" s="1445"/>
      <c r="V546" s="1445"/>
      <c r="W546" s="1445"/>
      <c r="X546" s="1445"/>
      <c r="Y546" s="1445"/>
      <c r="Z546" s="1445"/>
    </row>
    <row r="547" spans="1:26" ht="18.75">
      <c r="A547" s="1438"/>
      <c r="B547" s="1417"/>
      <c r="C547" s="1418"/>
      <c r="D547" s="1447" t="s">
        <v>20</v>
      </c>
      <c r="E547" s="1418"/>
      <c r="F547" s="1418"/>
      <c r="G547" s="1103"/>
      <c r="H547" s="1077" t="s">
        <v>12</v>
      </c>
      <c r="I547" s="1078"/>
      <c r="J547" s="1078"/>
      <c r="K547" s="1079"/>
      <c r="L547" s="950">
        <f t="shared" ref="L547:N547" ca="1" si="241">L548+L549</f>
        <v>315742</v>
      </c>
      <c r="M547" s="950">
        <f t="shared" ca="1" si="241"/>
        <v>315742</v>
      </c>
      <c r="N547" s="950">
        <f t="shared" si="241"/>
        <v>155862</v>
      </c>
      <c r="O547" s="950">
        <f t="shared" ca="1" si="237"/>
        <v>49.363721012725577</v>
      </c>
      <c r="P547" s="950">
        <f t="shared" ca="1" si="238"/>
        <v>49.363721012725577</v>
      </c>
      <c r="Q547" s="1419"/>
      <c r="R547" s="1419"/>
      <c r="S547" s="1419"/>
      <c r="T547" s="1419"/>
      <c r="U547" s="1419"/>
      <c r="V547" s="1419"/>
      <c r="W547" s="1419"/>
      <c r="X547" s="1419"/>
      <c r="Y547" s="1419"/>
      <c r="Z547" s="1419"/>
    </row>
    <row r="548" spans="1:26" ht="18.75" hidden="1">
      <c r="A548" s="1441"/>
      <c r="B548" s="1446"/>
      <c r="C548" s="1442"/>
      <c r="D548" s="1443"/>
      <c r="E548" s="1442" t="s">
        <v>185</v>
      </c>
      <c r="F548" s="1442"/>
      <c r="G548" s="1444"/>
      <c r="H548" s="1081" t="s">
        <v>12</v>
      </c>
      <c r="I548" s="956"/>
      <c r="J548" s="956"/>
      <c r="K548" s="957"/>
      <c r="L548" s="957">
        <v>0</v>
      </c>
      <c r="M548" s="957">
        <v>0</v>
      </c>
      <c r="N548" s="957">
        <v>0</v>
      </c>
      <c r="O548" s="957">
        <f t="shared" si="237"/>
        <v>0</v>
      </c>
      <c r="P548" s="957">
        <f t="shared" si="238"/>
        <v>0</v>
      </c>
      <c r="Q548" s="1445"/>
      <c r="R548" s="1445"/>
      <c r="S548" s="1445"/>
      <c r="T548" s="1445"/>
      <c r="U548" s="1445"/>
      <c r="V548" s="1445"/>
      <c r="W548" s="1445"/>
      <c r="X548" s="1445"/>
      <c r="Y548" s="1445"/>
      <c r="Z548" s="1445"/>
    </row>
    <row r="549" spans="1:26" ht="18.75" hidden="1">
      <c r="A549" s="1441"/>
      <c r="B549" s="1446"/>
      <c r="C549" s="1442"/>
      <c r="D549" s="1443"/>
      <c r="E549" s="1442" t="s">
        <v>186</v>
      </c>
      <c r="F549" s="1442"/>
      <c r="G549" s="1444"/>
      <c r="H549" s="1081" t="s">
        <v>12</v>
      </c>
      <c r="I549" s="956"/>
      <c r="J549" s="956"/>
      <c r="K549" s="957"/>
      <c r="L549" s="957">
        <f ca="1">IFERROR(__xludf.DUMMYFUNCTION("IMPORTRANGE(""https://docs.google.com/spreadsheets/d/1QqKyyYR6Q21VydFLVH3TRQUabQu_ym0Zz7PgGX0-kHA/edit?usp=sharing"",""แผน!HB62"")"),315742)</f>
        <v>315742</v>
      </c>
      <c r="M549" s="957">
        <f ca="1">L549</f>
        <v>315742</v>
      </c>
      <c r="N549" s="957">
        <f>N550+N551+N552+N553+N554</f>
        <v>155862</v>
      </c>
      <c r="O549" s="957">
        <f t="shared" ca="1" si="237"/>
        <v>49.363721012725577</v>
      </c>
      <c r="P549" s="957">
        <f t="shared" ca="1" si="238"/>
        <v>49.363721012725577</v>
      </c>
      <c r="Q549" s="1445"/>
      <c r="R549" s="1445"/>
      <c r="S549" s="1445"/>
      <c r="T549" s="1445"/>
      <c r="U549" s="1445"/>
      <c r="V549" s="1445"/>
      <c r="W549" s="1445"/>
      <c r="X549" s="1445"/>
      <c r="Y549" s="1445"/>
      <c r="Z549" s="1445"/>
    </row>
    <row r="550" spans="1:26" ht="18.75">
      <c r="A550" s="1416"/>
      <c r="B550" s="1417"/>
      <c r="C550" s="1418"/>
      <c r="D550" s="1418"/>
      <c r="E550" s="1418"/>
      <c r="F550" s="1418" t="s">
        <v>187</v>
      </c>
      <c r="G550" s="1103"/>
      <c r="H550" s="1077" t="s">
        <v>12</v>
      </c>
      <c r="I550" s="949"/>
      <c r="J550" s="949"/>
      <c r="K550" s="950"/>
      <c r="L550" s="950"/>
      <c r="M550" s="950"/>
      <c r="N550" s="1186">
        <v>0</v>
      </c>
      <c r="O550" s="950"/>
      <c r="P550" s="950"/>
      <c r="Q550" s="1419"/>
      <c r="R550" s="1419"/>
      <c r="S550" s="1419"/>
      <c r="T550" s="1419"/>
      <c r="U550" s="1419"/>
      <c r="V550" s="1419"/>
      <c r="W550" s="1419"/>
      <c r="X550" s="1419"/>
      <c r="Y550" s="1419"/>
      <c r="Z550" s="1419"/>
    </row>
    <row r="551" spans="1:26" ht="18.75">
      <c r="A551" s="1416"/>
      <c r="B551" s="1417"/>
      <c r="C551" s="1417"/>
      <c r="D551" s="1417"/>
      <c r="E551" s="1418"/>
      <c r="F551" s="1418" t="s">
        <v>188</v>
      </c>
      <c r="G551" s="1103"/>
      <c r="H551" s="1077" t="s">
        <v>12</v>
      </c>
      <c r="I551" s="949"/>
      <c r="J551" s="949"/>
      <c r="K551" s="950"/>
      <c r="L551" s="950"/>
      <c r="M551" s="950"/>
      <c r="N551" s="1186">
        <f>19945+25170+910</f>
        <v>46025</v>
      </c>
      <c r="O551" s="950"/>
      <c r="P551" s="950"/>
      <c r="Q551" s="1419"/>
      <c r="R551" s="1419"/>
      <c r="S551" s="1419"/>
      <c r="T551" s="1419"/>
      <c r="U551" s="1419"/>
      <c r="V551" s="1419"/>
      <c r="W551" s="1419"/>
      <c r="X551" s="1419"/>
      <c r="Y551" s="1419"/>
      <c r="Z551" s="1419"/>
    </row>
    <row r="552" spans="1:26" ht="18.75">
      <c r="A552" s="1416"/>
      <c r="B552" s="1417"/>
      <c r="C552" s="1418"/>
      <c r="D552" s="1418"/>
      <c r="E552" s="1418"/>
      <c r="F552" s="1418" t="s">
        <v>189</v>
      </c>
      <c r="G552" s="1103"/>
      <c r="H552" s="1077" t="s">
        <v>12</v>
      </c>
      <c r="I552" s="949"/>
      <c r="J552" s="949"/>
      <c r="K552" s="950"/>
      <c r="L552" s="950"/>
      <c r="M552" s="950"/>
      <c r="N552" s="1186">
        <f>65000+13000</f>
        <v>78000</v>
      </c>
      <c r="O552" s="950"/>
      <c r="P552" s="950"/>
      <c r="Q552" s="1419"/>
      <c r="R552" s="1419"/>
      <c r="S552" s="1419"/>
      <c r="T552" s="1419"/>
      <c r="U552" s="1419"/>
      <c r="V552" s="1419"/>
      <c r="W552" s="1419"/>
      <c r="X552" s="1419"/>
      <c r="Y552" s="1419"/>
      <c r="Z552" s="1419"/>
    </row>
    <row r="553" spans="1:26" ht="18.75">
      <c r="A553" s="1416"/>
      <c r="B553" s="1417"/>
      <c r="C553" s="1417"/>
      <c r="D553" s="1417"/>
      <c r="E553" s="1418"/>
      <c r="F553" s="1418" t="s">
        <v>190</v>
      </c>
      <c r="G553" s="1103"/>
      <c r="H553" s="1077" t="s">
        <v>12</v>
      </c>
      <c r="I553" s="949"/>
      <c r="J553" s="949"/>
      <c r="K553" s="950"/>
      <c r="L553" s="950"/>
      <c r="M553" s="950"/>
      <c r="N553" s="1186">
        <f>3840+12900+9125+840+3900+1232</f>
        <v>31837</v>
      </c>
      <c r="O553" s="950"/>
      <c r="P553" s="950"/>
      <c r="Q553" s="1419"/>
      <c r="R553" s="1419"/>
      <c r="S553" s="1419"/>
      <c r="T553" s="1419"/>
      <c r="U553" s="1419"/>
      <c r="V553" s="1419"/>
      <c r="W553" s="1419"/>
      <c r="X553" s="1419"/>
      <c r="Y553" s="1419"/>
      <c r="Z553" s="1419"/>
    </row>
    <row r="554" spans="1:26" ht="18.75">
      <c r="A554" s="1416"/>
      <c r="B554" s="1417"/>
      <c r="C554" s="1417"/>
      <c r="D554" s="1417"/>
      <c r="E554" s="1418"/>
      <c r="F554" s="1418" t="s">
        <v>234</v>
      </c>
      <c r="G554" s="1103"/>
      <c r="H554" s="1077" t="s">
        <v>12</v>
      </c>
      <c r="I554" s="949"/>
      <c r="J554" s="949"/>
      <c r="K554" s="950"/>
      <c r="L554" s="950"/>
      <c r="M554" s="950"/>
      <c r="N554" s="1186">
        <v>0</v>
      </c>
      <c r="O554" s="950"/>
      <c r="P554" s="950"/>
      <c r="Q554" s="1419"/>
      <c r="R554" s="1419"/>
      <c r="S554" s="1419"/>
      <c r="T554" s="1419"/>
      <c r="U554" s="1419"/>
      <c r="V554" s="1419"/>
      <c r="W554" s="1419"/>
      <c r="X554" s="1419"/>
      <c r="Y554" s="1419"/>
      <c r="Z554" s="1419"/>
    </row>
    <row r="555" spans="1:26" ht="18.75">
      <c r="A555" s="1438"/>
      <c r="B555" s="1417"/>
      <c r="C555" s="1417"/>
      <c r="D555" s="1447" t="s">
        <v>21</v>
      </c>
      <c r="E555" s="1418"/>
      <c r="F555" s="1418"/>
      <c r="G555" s="1103"/>
      <c r="H555" s="1084" t="s">
        <v>12</v>
      </c>
      <c r="I555" s="1078"/>
      <c r="J555" s="1078"/>
      <c r="K555" s="1079"/>
      <c r="L555" s="950">
        <f t="shared" ref="L555:N555" ca="1" si="242">L556+L557</f>
        <v>0</v>
      </c>
      <c r="M555" s="950">
        <f t="shared" si="242"/>
        <v>0</v>
      </c>
      <c r="N555" s="950">
        <f t="shared" si="242"/>
        <v>0</v>
      </c>
      <c r="O555" s="950">
        <f t="shared" ref="O555:O557" ca="1" si="243">IF(L555&gt;0,N555*100/L555,0)</f>
        <v>0</v>
      </c>
      <c r="P555" s="950">
        <f t="shared" ref="P555:P557" si="244">IF(M555&gt;0,N555*100/M555,0)</f>
        <v>0</v>
      </c>
      <c r="Q555" s="1419"/>
      <c r="R555" s="1419"/>
      <c r="S555" s="1419"/>
      <c r="T555" s="1419"/>
      <c r="U555" s="1419"/>
      <c r="V555" s="1419"/>
      <c r="W555" s="1419"/>
      <c r="X555" s="1419"/>
      <c r="Y555" s="1419"/>
      <c r="Z555" s="1419"/>
    </row>
    <row r="556" spans="1:26" ht="18.75" hidden="1">
      <c r="A556" s="1441"/>
      <c r="B556" s="1446"/>
      <c r="C556" s="1446"/>
      <c r="D556" s="1442"/>
      <c r="E556" s="1442" t="s">
        <v>18</v>
      </c>
      <c r="F556" s="1442"/>
      <c r="G556" s="1444"/>
      <c r="H556" s="1081" t="s">
        <v>12</v>
      </c>
      <c r="I556" s="1082"/>
      <c r="J556" s="1082"/>
      <c r="K556" s="1083"/>
      <c r="L556" s="957">
        <v>0</v>
      </c>
      <c r="M556" s="957">
        <v>0</v>
      </c>
      <c r="N556" s="957">
        <v>0</v>
      </c>
      <c r="O556" s="957">
        <f t="shared" si="243"/>
        <v>0</v>
      </c>
      <c r="P556" s="957">
        <f t="shared" si="244"/>
        <v>0</v>
      </c>
      <c r="Q556" s="1445"/>
      <c r="R556" s="1445"/>
      <c r="S556" s="1445"/>
      <c r="T556" s="1445"/>
      <c r="U556" s="1445"/>
      <c r="V556" s="1445"/>
      <c r="W556" s="1445"/>
      <c r="X556" s="1445"/>
      <c r="Y556" s="1445"/>
      <c r="Z556" s="1445"/>
    </row>
    <row r="557" spans="1:26" ht="18.75" hidden="1">
      <c r="A557" s="1441"/>
      <c r="B557" s="1446"/>
      <c r="C557" s="1446"/>
      <c r="D557" s="1442"/>
      <c r="E557" s="1442" t="s">
        <v>19</v>
      </c>
      <c r="F557" s="1442"/>
      <c r="G557" s="1444"/>
      <c r="H557" s="1085" t="s">
        <v>12</v>
      </c>
      <c r="I557" s="1082"/>
      <c r="J557" s="1082"/>
      <c r="K557" s="1083"/>
      <c r="L557" s="957">
        <f ca="1">IFERROR(__xludf.DUMMYFUNCTION("IMPORTRANGE(""https://docs.google.com/spreadsheets/d/1QqKyyYR6Q21VydFLVH3TRQUabQu_ym0Zz7PgGX0-kHA/edit?usp=sharing"",""แผน!HF62"")"),0)</f>
        <v>0</v>
      </c>
      <c r="M557" s="957">
        <v>0</v>
      </c>
      <c r="N557" s="957">
        <v>0</v>
      </c>
      <c r="O557" s="957">
        <f t="shared" ca="1" si="243"/>
        <v>0</v>
      </c>
      <c r="P557" s="957">
        <f t="shared" si="244"/>
        <v>0</v>
      </c>
      <c r="Q557" s="1445"/>
      <c r="R557" s="1445"/>
      <c r="S557" s="1445"/>
      <c r="T557" s="1445"/>
      <c r="U557" s="1445"/>
      <c r="V557" s="1445"/>
      <c r="W557" s="1445"/>
      <c r="X557" s="1445"/>
      <c r="Y557" s="1445"/>
      <c r="Z557" s="1445"/>
    </row>
    <row r="558" spans="1:26" ht="19.5">
      <c r="A558" s="1448"/>
      <c r="B558" s="1449"/>
      <c r="C558" s="1417" t="s">
        <v>16</v>
      </c>
      <c r="D558" s="1510" t="s">
        <v>38</v>
      </c>
      <c r="E558" s="1452"/>
      <c r="F558" s="1452"/>
      <c r="G558" s="1453"/>
      <c r="H558" s="1091"/>
      <c r="I558" s="1078"/>
      <c r="J558" s="1078"/>
      <c r="K558" s="1079"/>
      <c r="L558" s="1079"/>
      <c r="M558" s="1079"/>
      <c r="N558" s="1079"/>
      <c r="O558" s="1079"/>
      <c r="P558" s="1079"/>
      <c r="Q558" s="1419"/>
      <c r="R558" s="1419"/>
      <c r="S558" s="1419"/>
      <c r="T558" s="1419"/>
      <c r="U558" s="1419"/>
      <c r="V558" s="1419"/>
      <c r="W558" s="1419"/>
      <c r="X558" s="1419"/>
      <c r="Y558" s="1419"/>
      <c r="Z558" s="1419"/>
    </row>
    <row r="559" spans="1:26" ht="19.5">
      <c r="A559" s="1521"/>
      <c r="B559" s="1522" t="s">
        <v>235</v>
      </c>
      <c r="C559" s="1523"/>
      <c r="D559" s="1523"/>
      <c r="E559" s="1504"/>
      <c r="F559" s="1504"/>
      <c r="G559" s="1505"/>
      <c r="H559" s="1524" t="s">
        <v>46</v>
      </c>
      <c r="I559" s="1507">
        <f t="shared" ref="I559:J559" ca="1" si="245">I576</f>
        <v>18118</v>
      </c>
      <c r="J559" s="1507">
        <f t="shared" si="245"/>
        <v>13165</v>
      </c>
      <c r="K559" s="1508">
        <f t="shared" ref="K559:K561" ca="1" si="246">IF(I559&gt;0,J559*100/I559,0)</f>
        <v>72.662545534827245</v>
      </c>
      <c r="L559" s="1509"/>
      <c r="M559" s="1509"/>
      <c r="N559" s="1509"/>
      <c r="O559" s="1509"/>
      <c r="P559" s="1509"/>
      <c r="Q559" s="1419"/>
      <c r="R559" s="1419"/>
      <c r="S559" s="1419"/>
      <c r="T559" s="1419"/>
      <c r="U559" s="1419"/>
      <c r="V559" s="1419"/>
      <c r="W559" s="1419"/>
      <c r="X559" s="1419"/>
      <c r="Y559" s="1419"/>
      <c r="Z559" s="1419"/>
    </row>
    <row r="560" spans="1:26" ht="19.5">
      <c r="A560" s="1448"/>
      <c r="B560" s="1449"/>
      <c r="C560" s="1458" t="s">
        <v>236</v>
      </c>
      <c r="D560" s="1449"/>
      <c r="E560" s="1101"/>
      <c r="F560" s="1101"/>
      <c r="G560" s="1091"/>
      <c r="H560" s="1105" t="s">
        <v>46</v>
      </c>
      <c r="I560" s="1106">
        <f ca="1">IFERROR(__xludf.DUMMYFUNCTION("IMPORTRANGE(""https://docs.google.com/spreadsheets/d/1QqKyyYR6Q21VydFLVH3TRQUabQu_ym0Zz7PgGX0-kHA/edit?usp=sharing"",""แผน!HH62"")"),18118)</f>
        <v>18118</v>
      </c>
      <c r="J560" s="1106">
        <f t="shared" ref="J560:J561" si="247">J562+J564+J566</f>
        <v>18118</v>
      </c>
      <c r="K560" s="1270">
        <f t="shared" ca="1" si="246"/>
        <v>100</v>
      </c>
      <c r="L560" s="1079"/>
      <c r="M560" s="1079"/>
      <c r="N560" s="1079"/>
      <c r="O560" s="1079"/>
      <c r="P560" s="1079"/>
      <c r="Q560" s="1419"/>
      <c r="R560" s="1419"/>
      <c r="S560" s="1419"/>
      <c r="T560" s="1419"/>
      <c r="U560" s="1419"/>
      <c r="V560" s="1419"/>
      <c r="W560" s="1419"/>
      <c r="X560" s="1419"/>
      <c r="Y560" s="1419"/>
      <c r="Z560" s="1419"/>
    </row>
    <row r="561" spans="1:26" ht="19.5">
      <c r="A561" s="1448"/>
      <c r="B561" s="1449"/>
      <c r="C561" s="1449"/>
      <c r="D561" s="1101"/>
      <c r="E561" s="1101"/>
      <c r="F561" s="1101"/>
      <c r="G561" s="1091"/>
      <c r="H561" s="1105" t="s">
        <v>34</v>
      </c>
      <c r="I561" s="1106">
        <f ca="1">IFERROR(__xludf.DUMMYFUNCTION("IMPORTRANGE(""https://docs.google.com/spreadsheets/d/1QqKyyYR6Q21VydFLVH3TRQUabQu_ym0Zz7PgGX0-kHA/edit?usp=sharing"",""แผน!HG62"")"),1162)</f>
        <v>1162</v>
      </c>
      <c r="J561" s="1106">
        <f t="shared" si="247"/>
        <v>1162</v>
      </c>
      <c r="K561" s="1270">
        <f t="shared" ca="1" si="246"/>
        <v>100</v>
      </c>
      <c r="L561" s="1079"/>
      <c r="M561" s="1079"/>
      <c r="N561" s="1079"/>
      <c r="O561" s="1079"/>
      <c r="P561" s="1079"/>
      <c r="Q561" s="1419"/>
      <c r="R561" s="1419"/>
      <c r="S561" s="1419"/>
      <c r="T561" s="1419"/>
      <c r="U561" s="1419"/>
      <c r="V561" s="1419"/>
      <c r="W561" s="1419"/>
      <c r="X561" s="1419"/>
      <c r="Y561" s="1419"/>
      <c r="Z561" s="1419"/>
    </row>
    <row r="562" spans="1:26" ht="18.75">
      <c r="A562" s="1448"/>
      <c r="B562" s="1449"/>
      <c r="C562" s="1449"/>
      <c r="D562" s="1101" t="s">
        <v>237</v>
      </c>
      <c r="E562" s="1101"/>
      <c r="F562" s="1101"/>
      <c r="G562" s="1091"/>
      <c r="H562" s="1097" t="s">
        <v>46</v>
      </c>
      <c r="I562" s="1078"/>
      <c r="J562" s="1098">
        <v>12704</v>
      </c>
      <c r="K562" s="1079"/>
      <c r="L562" s="1079"/>
      <c r="M562" s="1079"/>
      <c r="N562" s="1079"/>
      <c r="O562" s="1079"/>
      <c r="P562" s="1079"/>
      <c r="Q562" s="1419"/>
      <c r="R562" s="1419"/>
      <c r="S562" s="1419"/>
      <c r="T562" s="1419"/>
      <c r="U562" s="1419"/>
      <c r="V562" s="1419"/>
      <c r="W562" s="1419"/>
      <c r="X562" s="1419"/>
      <c r="Y562" s="1419"/>
      <c r="Z562" s="1419"/>
    </row>
    <row r="563" spans="1:26" ht="18.75">
      <c r="A563" s="1448"/>
      <c r="B563" s="1449"/>
      <c r="C563" s="1449"/>
      <c r="D563" s="1449"/>
      <c r="E563" s="1101"/>
      <c r="F563" s="1101"/>
      <c r="G563" s="1091"/>
      <c r="H563" s="1097" t="s">
        <v>34</v>
      </c>
      <c r="I563" s="1078"/>
      <c r="J563" s="1098">
        <v>895</v>
      </c>
      <c r="K563" s="1079"/>
      <c r="L563" s="1079"/>
      <c r="M563" s="1079"/>
      <c r="N563" s="1079"/>
      <c r="O563" s="1079"/>
      <c r="P563" s="1079"/>
      <c r="Q563" s="1419"/>
      <c r="R563" s="1419"/>
      <c r="S563" s="1419"/>
      <c r="T563" s="1419"/>
      <c r="U563" s="1419"/>
      <c r="V563" s="1419"/>
      <c r="W563" s="1419"/>
      <c r="X563" s="1419"/>
      <c r="Y563" s="1419"/>
      <c r="Z563" s="1419"/>
    </row>
    <row r="564" spans="1:26" ht="18.75">
      <c r="A564" s="1448"/>
      <c r="B564" s="1449"/>
      <c r="C564" s="1449"/>
      <c r="D564" s="1101" t="s">
        <v>238</v>
      </c>
      <c r="E564" s="1101"/>
      <c r="F564" s="1101"/>
      <c r="G564" s="1091"/>
      <c r="H564" s="1097" t="s">
        <v>46</v>
      </c>
      <c r="I564" s="1078"/>
      <c r="J564" s="1098">
        <v>4966</v>
      </c>
      <c r="K564" s="1079"/>
      <c r="L564" s="1079"/>
      <c r="M564" s="1079"/>
      <c r="N564" s="1079"/>
      <c r="O564" s="1079"/>
      <c r="P564" s="1079"/>
      <c r="Q564" s="1419"/>
      <c r="R564" s="1419"/>
      <c r="S564" s="1419"/>
      <c r="T564" s="1419"/>
      <c r="U564" s="1419"/>
      <c r="V564" s="1419"/>
      <c r="W564" s="1419"/>
      <c r="X564" s="1419"/>
      <c r="Y564" s="1419"/>
      <c r="Z564" s="1419"/>
    </row>
    <row r="565" spans="1:26" ht="18.75">
      <c r="A565" s="1448"/>
      <c r="B565" s="1449"/>
      <c r="C565" s="1449"/>
      <c r="D565" s="1101"/>
      <c r="E565" s="1101"/>
      <c r="F565" s="1101"/>
      <c r="G565" s="1091"/>
      <c r="H565" s="1097" t="s">
        <v>34</v>
      </c>
      <c r="I565" s="1078"/>
      <c r="J565" s="1098">
        <v>228</v>
      </c>
      <c r="K565" s="1079"/>
      <c r="L565" s="1079"/>
      <c r="M565" s="1079"/>
      <c r="N565" s="1079"/>
      <c r="O565" s="1079"/>
      <c r="P565" s="1079"/>
      <c r="Q565" s="1419"/>
      <c r="R565" s="1419"/>
      <c r="S565" s="1419"/>
      <c r="T565" s="1419"/>
      <c r="U565" s="1419"/>
      <c r="V565" s="1419"/>
      <c r="W565" s="1419"/>
      <c r="X565" s="1419"/>
      <c r="Y565" s="1419"/>
      <c r="Z565" s="1419"/>
    </row>
    <row r="566" spans="1:26" ht="18.75">
      <c r="A566" s="1448"/>
      <c r="B566" s="1449"/>
      <c r="C566" s="1449"/>
      <c r="D566" s="1101" t="s">
        <v>239</v>
      </c>
      <c r="E566" s="1101"/>
      <c r="F566" s="1101"/>
      <c r="G566" s="1091"/>
      <c r="H566" s="1097" t="s">
        <v>46</v>
      </c>
      <c r="I566" s="1078"/>
      <c r="J566" s="1098">
        <v>448</v>
      </c>
      <c r="K566" s="1079"/>
      <c r="L566" s="1079"/>
      <c r="M566" s="1079"/>
      <c r="N566" s="1079"/>
      <c r="O566" s="1079"/>
      <c r="P566" s="1079"/>
      <c r="Q566" s="1419"/>
      <c r="R566" s="1419"/>
      <c r="S566" s="1419"/>
      <c r="T566" s="1419"/>
      <c r="U566" s="1419"/>
      <c r="V566" s="1419"/>
      <c r="W566" s="1419"/>
      <c r="X566" s="1419"/>
      <c r="Y566" s="1419"/>
      <c r="Z566" s="1419"/>
    </row>
    <row r="567" spans="1:26" ht="18.75">
      <c r="A567" s="1448"/>
      <c r="B567" s="1449"/>
      <c r="C567" s="1449"/>
      <c r="D567" s="1101"/>
      <c r="E567" s="1101"/>
      <c r="F567" s="1101"/>
      <c r="G567" s="1091"/>
      <c r="H567" s="1097" t="s">
        <v>34</v>
      </c>
      <c r="I567" s="1078"/>
      <c r="J567" s="1098">
        <v>39</v>
      </c>
      <c r="K567" s="1079"/>
      <c r="L567" s="1079"/>
      <c r="M567" s="1079"/>
      <c r="N567" s="1079"/>
      <c r="O567" s="1079"/>
      <c r="P567" s="1079"/>
      <c r="Q567" s="1419"/>
      <c r="R567" s="1419"/>
      <c r="S567" s="1419"/>
      <c r="T567" s="1419"/>
      <c r="U567" s="1419"/>
      <c r="V567" s="1419"/>
      <c r="W567" s="1419"/>
      <c r="X567" s="1419"/>
      <c r="Y567" s="1419"/>
      <c r="Z567" s="1419"/>
    </row>
    <row r="568" spans="1:26" ht="19.5">
      <c r="A568" s="1448"/>
      <c r="B568" s="1449"/>
      <c r="C568" s="1458" t="s">
        <v>240</v>
      </c>
      <c r="D568" s="1101"/>
      <c r="E568" s="1101"/>
      <c r="F568" s="1101"/>
      <c r="G568" s="1091"/>
      <c r="H568" s="1105" t="s">
        <v>46</v>
      </c>
      <c r="I568" s="1106">
        <f ca="1">IFERROR(__xludf.DUMMYFUNCTION("IMPORTRANGE(""https://docs.google.com/spreadsheets/d/1QqKyyYR6Q21VydFLVH3TRQUabQu_ym0Zz7PgGX0-kHA/edit?usp=sharing"",""แผน!HH62"")"),18118)</f>
        <v>18118</v>
      </c>
      <c r="J568" s="1107">
        <f t="shared" ref="J568:J569" si="248">J570+J572+J574</f>
        <v>18120</v>
      </c>
      <c r="K568" s="1270">
        <f t="shared" ref="K568:K569" ca="1" si="249">IF(I568&gt;0,J568*100/I568,0)</f>
        <v>100.01103874599845</v>
      </c>
      <c r="L568" s="1079"/>
      <c r="M568" s="1079"/>
      <c r="N568" s="1079"/>
      <c r="O568" s="1079"/>
      <c r="P568" s="1079"/>
      <c r="Q568" s="1419"/>
      <c r="R568" s="1419"/>
      <c r="S568" s="1419"/>
      <c r="T568" s="1419"/>
      <c r="U568" s="1419"/>
      <c r="V568" s="1419"/>
      <c r="W568" s="1419"/>
      <c r="X568" s="1419"/>
      <c r="Y568" s="1419"/>
      <c r="Z568" s="1419"/>
    </row>
    <row r="569" spans="1:26" ht="19.5">
      <c r="A569" s="1448"/>
      <c r="B569" s="1449"/>
      <c r="C569" s="1449"/>
      <c r="D569" s="1449"/>
      <c r="E569" s="1101"/>
      <c r="F569" s="1101"/>
      <c r="G569" s="1091"/>
      <c r="H569" s="1105" t="s">
        <v>34</v>
      </c>
      <c r="I569" s="1106">
        <f ca="1">IFERROR(__xludf.DUMMYFUNCTION("IMPORTRANGE(""https://docs.google.com/spreadsheets/d/1QqKyyYR6Q21VydFLVH3TRQUabQu_ym0Zz7PgGX0-kHA/edit?usp=sharing"",""แผน!HG62"")"),1162)</f>
        <v>1162</v>
      </c>
      <c r="J569" s="1107">
        <f t="shared" si="248"/>
        <v>1162</v>
      </c>
      <c r="K569" s="1270">
        <f t="shared" ca="1" si="249"/>
        <v>100</v>
      </c>
      <c r="L569" s="1079"/>
      <c r="M569" s="1079"/>
      <c r="N569" s="1079"/>
      <c r="O569" s="1079"/>
      <c r="P569" s="1079"/>
      <c r="Q569" s="1419"/>
      <c r="R569" s="1419"/>
      <c r="S569" s="1419"/>
      <c r="T569" s="1419"/>
      <c r="U569" s="1419"/>
      <c r="V569" s="1419"/>
      <c r="W569" s="1419"/>
      <c r="X569" s="1419"/>
      <c r="Y569" s="1419"/>
      <c r="Z569" s="1419"/>
    </row>
    <row r="570" spans="1:26" ht="18.75">
      <c r="A570" s="1448"/>
      <c r="B570" s="1449"/>
      <c r="C570" s="1449"/>
      <c r="D570" s="1101" t="s">
        <v>241</v>
      </c>
      <c r="E570" s="1449"/>
      <c r="F570" s="1101"/>
      <c r="G570" s="1091"/>
      <c r="H570" s="1097" t="s">
        <v>46</v>
      </c>
      <c r="I570" s="1078"/>
      <c r="J570" s="1098">
        <v>12717</v>
      </c>
      <c r="K570" s="1079"/>
      <c r="L570" s="1079"/>
      <c r="M570" s="1079"/>
      <c r="N570" s="1079"/>
      <c r="O570" s="1079"/>
      <c r="P570" s="1079"/>
      <c r="Q570" s="1419"/>
      <c r="R570" s="1419"/>
      <c r="S570" s="1419"/>
      <c r="T570" s="1419"/>
      <c r="U570" s="1419"/>
      <c r="V570" s="1419"/>
      <c r="W570" s="1419"/>
      <c r="X570" s="1419"/>
      <c r="Y570" s="1419"/>
      <c r="Z570" s="1419"/>
    </row>
    <row r="571" spans="1:26" ht="18.75">
      <c r="A571" s="1448"/>
      <c r="B571" s="1449"/>
      <c r="C571" s="1449"/>
      <c r="D571" s="1449"/>
      <c r="E571" s="1101"/>
      <c r="F571" s="1101"/>
      <c r="G571" s="1091"/>
      <c r="H571" s="1097" t="s">
        <v>34</v>
      </c>
      <c r="I571" s="1078"/>
      <c r="J571" s="1098">
        <v>897</v>
      </c>
      <c r="K571" s="1079"/>
      <c r="L571" s="1079"/>
      <c r="M571" s="1079"/>
      <c r="N571" s="1079"/>
      <c r="O571" s="1079"/>
      <c r="P571" s="1079"/>
      <c r="Q571" s="1419"/>
      <c r="R571" s="1419"/>
      <c r="S571" s="1419"/>
      <c r="T571" s="1419"/>
      <c r="U571" s="1419"/>
      <c r="V571" s="1419"/>
      <c r="W571" s="1419"/>
      <c r="X571" s="1419"/>
      <c r="Y571" s="1419"/>
      <c r="Z571" s="1419"/>
    </row>
    <row r="572" spans="1:26" ht="18.75">
      <c r="A572" s="1448"/>
      <c r="B572" s="1449"/>
      <c r="C572" s="1449"/>
      <c r="D572" s="1101" t="s">
        <v>242</v>
      </c>
      <c r="E572" s="1101"/>
      <c r="F572" s="1101"/>
      <c r="G572" s="1091"/>
      <c r="H572" s="1097" t="s">
        <v>46</v>
      </c>
      <c r="I572" s="1078"/>
      <c r="J572" s="1098">
        <v>4955</v>
      </c>
      <c r="K572" s="1079"/>
      <c r="L572" s="1079"/>
      <c r="M572" s="1079"/>
      <c r="N572" s="1079"/>
      <c r="O572" s="1079"/>
      <c r="P572" s="1079"/>
      <c r="Q572" s="1419"/>
      <c r="R572" s="1419"/>
      <c r="S572" s="1419"/>
      <c r="T572" s="1419"/>
      <c r="U572" s="1419"/>
      <c r="V572" s="1419"/>
      <c r="W572" s="1419"/>
      <c r="X572" s="1419"/>
      <c r="Y572" s="1419"/>
      <c r="Z572" s="1419"/>
    </row>
    <row r="573" spans="1:26" ht="18.75">
      <c r="A573" s="1448"/>
      <c r="B573" s="1449"/>
      <c r="C573" s="1449"/>
      <c r="D573" s="1101"/>
      <c r="E573" s="1101"/>
      <c r="F573" s="1101"/>
      <c r="G573" s="1091"/>
      <c r="H573" s="1097" t="s">
        <v>34</v>
      </c>
      <c r="I573" s="1078"/>
      <c r="J573" s="1098">
        <v>226</v>
      </c>
      <c r="K573" s="1079"/>
      <c r="L573" s="1079"/>
      <c r="M573" s="1079"/>
      <c r="N573" s="1079"/>
      <c r="O573" s="1079"/>
      <c r="P573" s="1079"/>
      <c r="Q573" s="1419"/>
      <c r="R573" s="1419"/>
      <c r="S573" s="1419"/>
      <c r="T573" s="1419"/>
      <c r="U573" s="1419"/>
      <c r="V573" s="1419"/>
      <c r="W573" s="1419"/>
      <c r="X573" s="1419"/>
      <c r="Y573" s="1419"/>
      <c r="Z573" s="1419"/>
    </row>
    <row r="574" spans="1:26" ht="18.75">
      <c r="A574" s="1448"/>
      <c r="B574" s="1449"/>
      <c r="C574" s="1449"/>
      <c r="D574" s="1101" t="s">
        <v>243</v>
      </c>
      <c r="E574" s="1101"/>
      <c r="F574" s="1101"/>
      <c r="G574" s="1091"/>
      <c r="H574" s="1097" t="s">
        <v>46</v>
      </c>
      <c r="I574" s="1078"/>
      <c r="J574" s="1098">
        <v>448</v>
      </c>
      <c r="K574" s="1079"/>
      <c r="L574" s="1079"/>
      <c r="M574" s="1079"/>
      <c r="N574" s="1079"/>
      <c r="O574" s="1079"/>
      <c r="P574" s="1079"/>
      <c r="Q574" s="1419"/>
      <c r="R574" s="1419"/>
      <c r="S574" s="1419"/>
      <c r="T574" s="1419"/>
      <c r="U574" s="1419"/>
      <c r="V574" s="1419"/>
      <c r="W574" s="1419"/>
      <c r="X574" s="1419"/>
      <c r="Y574" s="1419"/>
      <c r="Z574" s="1419"/>
    </row>
    <row r="575" spans="1:26" ht="18.75">
      <c r="A575" s="1448"/>
      <c r="B575" s="1449"/>
      <c r="C575" s="1449"/>
      <c r="D575" s="1449"/>
      <c r="E575" s="1101"/>
      <c r="F575" s="1101"/>
      <c r="G575" s="1091"/>
      <c r="H575" s="1097" t="s">
        <v>34</v>
      </c>
      <c r="I575" s="1078"/>
      <c r="J575" s="1098">
        <v>39</v>
      </c>
      <c r="K575" s="1079"/>
      <c r="L575" s="1079"/>
      <c r="M575" s="1079"/>
      <c r="N575" s="1079"/>
      <c r="O575" s="1079"/>
      <c r="P575" s="1079"/>
      <c r="Q575" s="1419"/>
      <c r="R575" s="1419"/>
      <c r="S575" s="1419"/>
      <c r="T575" s="1419"/>
      <c r="U575" s="1419"/>
      <c r="V575" s="1419"/>
      <c r="W575" s="1419"/>
      <c r="X575" s="1419"/>
      <c r="Y575" s="1419"/>
      <c r="Z575" s="1419"/>
    </row>
    <row r="576" spans="1:26" ht="19.5">
      <c r="A576" s="1448"/>
      <c r="B576" s="1449"/>
      <c r="C576" s="1458" t="s">
        <v>244</v>
      </c>
      <c r="D576" s="1449"/>
      <c r="E576" s="1449"/>
      <c r="F576" s="1101"/>
      <c r="G576" s="1091"/>
      <c r="H576" s="1105" t="s">
        <v>46</v>
      </c>
      <c r="I576" s="1106">
        <f ca="1">IFERROR(__xludf.DUMMYFUNCTION("IMPORTRANGE(""https://docs.google.com/spreadsheets/d/1QqKyyYR6Q21VydFLVH3TRQUabQu_ym0Zz7PgGX0-kHA/edit?usp=sharing"",""แผน!HH62"")"),18118)</f>
        <v>18118</v>
      </c>
      <c r="J576" s="1107">
        <f t="shared" ref="J576:J577" si="250">J578+J580+J582+J588+J590</f>
        <v>13165</v>
      </c>
      <c r="K576" s="1270">
        <f t="shared" ref="K576:K577" ca="1" si="251">IF(I576&gt;0,J576*100/I576,0)</f>
        <v>72.662545534827245</v>
      </c>
      <c r="L576" s="1079"/>
      <c r="M576" s="1079"/>
      <c r="N576" s="1079"/>
      <c r="O576" s="1079"/>
      <c r="P576" s="1079"/>
      <c r="Q576" s="1419"/>
      <c r="R576" s="1419"/>
      <c r="S576" s="1419"/>
      <c r="T576" s="1419"/>
      <c r="U576" s="1419"/>
      <c r="V576" s="1419"/>
      <c r="W576" s="1419"/>
      <c r="X576" s="1419"/>
      <c r="Y576" s="1419"/>
      <c r="Z576" s="1419"/>
    </row>
    <row r="577" spans="1:26" ht="19.5">
      <c r="A577" s="1448"/>
      <c r="B577" s="1449"/>
      <c r="C577" s="1449"/>
      <c r="D577" s="1449"/>
      <c r="E577" s="1101"/>
      <c r="F577" s="1101"/>
      <c r="G577" s="1091"/>
      <c r="H577" s="1105" t="s">
        <v>34</v>
      </c>
      <c r="I577" s="1106">
        <f ca="1">IFERROR(__xludf.DUMMYFUNCTION("IMPORTRANGE(""https://docs.google.com/spreadsheets/d/1QqKyyYR6Q21VydFLVH3TRQUabQu_ym0Zz7PgGX0-kHA/edit?usp=sharing"",""แผน!HG62"")"),1162)</f>
        <v>1162</v>
      </c>
      <c r="J577" s="1107">
        <f t="shared" si="250"/>
        <v>936</v>
      </c>
      <c r="K577" s="1270">
        <f t="shared" ca="1" si="251"/>
        <v>80.55077452667814</v>
      </c>
      <c r="L577" s="1079"/>
      <c r="M577" s="1079"/>
      <c r="N577" s="1079"/>
      <c r="O577" s="1079"/>
      <c r="P577" s="1079"/>
      <c r="Q577" s="1419"/>
      <c r="R577" s="1419"/>
      <c r="S577" s="1419"/>
      <c r="T577" s="1419"/>
      <c r="U577" s="1419"/>
      <c r="V577" s="1419"/>
      <c r="W577" s="1419"/>
      <c r="X577" s="1419"/>
      <c r="Y577" s="1419"/>
      <c r="Z577" s="1419"/>
    </row>
    <row r="578" spans="1:26" ht="18.75">
      <c r="A578" s="1448"/>
      <c r="B578" s="1449"/>
      <c r="C578" s="1449"/>
      <c r="D578" s="1101" t="s">
        <v>245</v>
      </c>
      <c r="E578" s="1101"/>
      <c r="F578" s="1101"/>
      <c r="G578" s="1091"/>
      <c r="H578" s="1097" t="s">
        <v>46</v>
      </c>
      <c r="I578" s="1078"/>
      <c r="J578" s="1098">
        <v>12717</v>
      </c>
      <c r="K578" s="1079"/>
      <c r="L578" s="1079"/>
      <c r="M578" s="1079"/>
      <c r="N578" s="1079"/>
      <c r="O578" s="1079"/>
      <c r="P578" s="1079"/>
      <c r="Q578" s="1419"/>
      <c r="R578" s="1419"/>
      <c r="S578" s="1419"/>
      <c r="T578" s="1419"/>
      <c r="U578" s="1419"/>
      <c r="V578" s="1419"/>
      <c r="W578" s="1419"/>
      <c r="X578" s="1419"/>
      <c r="Y578" s="1419"/>
      <c r="Z578" s="1419"/>
    </row>
    <row r="579" spans="1:26" ht="18.75">
      <c r="A579" s="1448"/>
      <c r="B579" s="1449"/>
      <c r="C579" s="1449"/>
      <c r="D579" s="1449"/>
      <c r="E579" s="1101"/>
      <c r="F579" s="1101"/>
      <c r="G579" s="1091"/>
      <c r="H579" s="1097" t="s">
        <v>34</v>
      </c>
      <c r="I579" s="1078"/>
      <c r="J579" s="1098">
        <v>897</v>
      </c>
      <c r="K579" s="1079"/>
      <c r="L579" s="1079"/>
      <c r="M579" s="1079"/>
      <c r="N579" s="1079"/>
      <c r="O579" s="1079"/>
      <c r="P579" s="1079"/>
      <c r="Q579" s="1419"/>
      <c r="R579" s="1419"/>
      <c r="S579" s="1419"/>
      <c r="T579" s="1419"/>
      <c r="U579" s="1419"/>
      <c r="V579" s="1419"/>
      <c r="W579" s="1419"/>
      <c r="X579" s="1419"/>
      <c r="Y579" s="1419"/>
      <c r="Z579" s="1419"/>
    </row>
    <row r="580" spans="1:26" ht="18.75">
      <c r="A580" s="1448"/>
      <c r="B580" s="1449"/>
      <c r="C580" s="1449"/>
      <c r="D580" s="1101" t="s">
        <v>246</v>
      </c>
      <c r="E580" s="1101"/>
      <c r="F580" s="1101"/>
      <c r="G580" s="1091"/>
      <c r="H580" s="1097" t="s">
        <v>46</v>
      </c>
      <c r="I580" s="1078"/>
      <c r="J580" s="1098">
        <v>0</v>
      </c>
      <c r="K580" s="1079"/>
      <c r="L580" s="1079"/>
      <c r="M580" s="1079"/>
      <c r="N580" s="1079"/>
      <c r="O580" s="1079"/>
      <c r="P580" s="1079"/>
      <c r="Q580" s="1419"/>
      <c r="R580" s="1419"/>
      <c r="S580" s="1419"/>
      <c r="T580" s="1419"/>
      <c r="U580" s="1419"/>
      <c r="V580" s="1419"/>
      <c r="W580" s="1419"/>
      <c r="X580" s="1419"/>
      <c r="Y580" s="1419"/>
      <c r="Z580" s="1419"/>
    </row>
    <row r="581" spans="1:26" ht="18.75">
      <c r="A581" s="1448"/>
      <c r="B581" s="1449"/>
      <c r="C581" s="1449"/>
      <c r="D581" s="1449"/>
      <c r="E581" s="1101"/>
      <c r="F581" s="1101"/>
      <c r="G581" s="1091"/>
      <c r="H581" s="1097" t="s">
        <v>34</v>
      </c>
      <c r="I581" s="1078"/>
      <c r="J581" s="1098">
        <v>0</v>
      </c>
      <c r="K581" s="1079"/>
      <c r="L581" s="1079"/>
      <c r="M581" s="1079"/>
      <c r="N581" s="1079"/>
      <c r="O581" s="1079"/>
      <c r="P581" s="1079"/>
      <c r="Q581" s="1419"/>
      <c r="R581" s="1419"/>
      <c r="S581" s="1419"/>
      <c r="T581" s="1419"/>
      <c r="U581" s="1419"/>
      <c r="V581" s="1419"/>
      <c r="W581" s="1419"/>
      <c r="X581" s="1419"/>
      <c r="Y581" s="1419"/>
      <c r="Z581" s="1419"/>
    </row>
    <row r="582" spans="1:26" ht="19.5">
      <c r="A582" s="1448"/>
      <c r="B582" s="1449"/>
      <c r="C582" s="1449"/>
      <c r="D582" s="1101" t="s">
        <v>247</v>
      </c>
      <c r="E582" s="1101"/>
      <c r="F582" s="1101"/>
      <c r="G582" s="1091"/>
      <c r="H582" s="1097" t="s">
        <v>46</v>
      </c>
      <c r="I582" s="1078"/>
      <c r="J582" s="1107">
        <f t="shared" ref="J582:J583" si="252">J584+J586</f>
        <v>448</v>
      </c>
      <c r="K582" s="1270"/>
      <c r="L582" s="1079"/>
      <c r="M582" s="1079"/>
      <c r="N582" s="1079"/>
      <c r="O582" s="1079"/>
      <c r="P582" s="1079"/>
      <c r="Q582" s="1419"/>
      <c r="R582" s="1419"/>
      <c r="S582" s="1419"/>
      <c r="T582" s="1419"/>
      <c r="U582" s="1419"/>
      <c r="V582" s="1419"/>
      <c r="W582" s="1419"/>
      <c r="X582" s="1419"/>
      <c r="Y582" s="1419"/>
      <c r="Z582" s="1419"/>
    </row>
    <row r="583" spans="1:26" ht="19.5">
      <c r="A583" s="1448"/>
      <c r="B583" s="1449"/>
      <c r="C583" s="1449"/>
      <c r="D583" s="1449"/>
      <c r="E583" s="1101"/>
      <c r="F583" s="1101"/>
      <c r="G583" s="1091"/>
      <c r="H583" s="1097" t="s">
        <v>34</v>
      </c>
      <c r="I583" s="1078"/>
      <c r="J583" s="1107">
        <f t="shared" si="252"/>
        <v>39</v>
      </c>
      <c r="K583" s="1270"/>
      <c r="L583" s="1079"/>
      <c r="M583" s="1079"/>
      <c r="N583" s="1079"/>
      <c r="O583" s="1079"/>
      <c r="P583" s="1079"/>
      <c r="Q583" s="1419"/>
      <c r="R583" s="1419"/>
      <c r="S583" s="1419"/>
      <c r="T583" s="1419"/>
      <c r="U583" s="1419"/>
      <c r="V583" s="1419"/>
      <c r="W583" s="1419"/>
      <c r="X583" s="1419"/>
      <c r="Y583" s="1419"/>
      <c r="Z583" s="1419"/>
    </row>
    <row r="584" spans="1:26" ht="18.75">
      <c r="A584" s="1448"/>
      <c r="B584" s="1449"/>
      <c r="C584" s="1449"/>
      <c r="D584" s="1449"/>
      <c r="E584" s="1101" t="s">
        <v>248</v>
      </c>
      <c r="F584" s="1101"/>
      <c r="G584" s="1091"/>
      <c r="H584" s="1097" t="s">
        <v>46</v>
      </c>
      <c r="I584" s="1078"/>
      <c r="J584" s="1098">
        <v>448</v>
      </c>
      <c r="K584" s="1079"/>
      <c r="L584" s="1079"/>
      <c r="M584" s="1079"/>
      <c r="N584" s="1079"/>
      <c r="O584" s="1079"/>
      <c r="P584" s="1079"/>
      <c r="Q584" s="1419"/>
      <c r="R584" s="1419"/>
      <c r="S584" s="1419"/>
      <c r="T584" s="1419"/>
      <c r="U584" s="1419"/>
      <c r="V584" s="1419"/>
      <c r="W584" s="1419"/>
      <c r="X584" s="1419"/>
      <c r="Y584" s="1419"/>
      <c r="Z584" s="1419"/>
    </row>
    <row r="585" spans="1:26" ht="18.75">
      <c r="A585" s="1448"/>
      <c r="B585" s="1449"/>
      <c r="C585" s="1449"/>
      <c r="D585" s="1449"/>
      <c r="E585" s="1101"/>
      <c r="F585" s="1101"/>
      <c r="G585" s="1091"/>
      <c r="H585" s="1097" t="s">
        <v>34</v>
      </c>
      <c r="I585" s="1078"/>
      <c r="J585" s="1098">
        <v>39</v>
      </c>
      <c r="K585" s="1079"/>
      <c r="L585" s="1079"/>
      <c r="M585" s="1079"/>
      <c r="N585" s="1079"/>
      <c r="O585" s="1079"/>
      <c r="P585" s="1079"/>
      <c r="Q585" s="1419"/>
      <c r="R585" s="1419"/>
      <c r="S585" s="1419"/>
      <c r="T585" s="1419"/>
      <c r="U585" s="1419"/>
      <c r="V585" s="1419"/>
      <c r="W585" s="1419"/>
      <c r="X585" s="1419"/>
      <c r="Y585" s="1419"/>
      <c r="Z585" s="1419"/>
    </row>
    <row r="586" spans="1:26" ht="18.75">
      <c r="A586" s="1448"/>
      <c r="B586" s="1449"/>
      <c r="C586" s="1449"/>
      <c r="D586" s="1449"/>
      <c r="E586" s="1101" t="s">
        <v>249</v>
      </c>
      <c r="F586" s="1101"/>
      <c r="G586" s="1091"/>
      <c r="H586" s="1097" t="s">
        <v>46</v>
      </c>
      <c r="I586" s="1078"/>
      <c r="J586" s="1098">
        <v>0</v>
      </c>
      <c r="K586" s="1079"/>
      <c r="L586" s="1079"/>
      <c r="M586" s="1079"/>
      <c r="N586" s="1079"/>
      <c r="O586" s="1079"/>
      <c r="P586" s="1079"/>
      <c r="Q586" s="1419"/>
      <c r="R586" s="1419"/>
      <c r="S586" s="1419"/>
      <c r="T586" s="1419"/>
      <c r="U586" s="1419"/>
      <c r="V586" s="1419"/>
      <c r="W586" s="1419"/>
      <c r="X586" s="1419"/>
      <c r="Y586" s="1419"/>
      <c r="Z586" s="1419"/>
    </row>
    <row r="587" spans="1:26" ht="18.75">
      <c r="A587" s="1448"/>
      <c r="B587" s="1449"/>
      <c r="C587" s="1449"/>
      <c r="D587" s="1449"/>
      <c r="E587" s="1449"/>
      <c r="F587" s="1101"/>
      <c r="G587" s="1091"/>
      <c r="H587" s="1097" t="s">
        <v>34</v>
      </c>
      <c r="I587" s="1078"/>
      <c r="J587" s="1098">
        <v>0</v>
      </c>
      <c r="K587" s="1079"/>
      <c r="L587" s="1079"/>
      <c r="M587" s="1079"/>
      <c r="N587" s="1079"/>
      <c r="O587" s="1079"/>
      <c r="P587" s="1079"/>
      <c r="Q587" s="1419"/>
      <c r="R587" s="1419"/>
      <c r="S587" s="1419"/>
      <c r="T587" s="1419"/>
      <c r="U587" s="1419"/>
      <c r="V587" s="1419"/>
      <c r="W587" s="1419"/>
      <c r="X587" s="1419"/>
      <c r="Y587" s="1419"/>
      <c r="Z587" s="1419"/>
    </row>
    <row r="588" spans="1:26" ht="18.75">
      <c r="A588" s="1448"/>
      <c r="B588" s="1449"/>
      <c r="C588" s="1449"/>
      <c r="D588" s="1101" t="s">
        <v>250</v>
      </c>
      <c r="E588" s="1101"/>
      <c r="F588" s="1101"/>
      <c r="G588" s="1091"/>
      <c r="H588" s="1097" t="s">
        <v>46</v>
      </c>
      <c r="I588" s="1078"/>
      <c r="J588" s="1098">
        <v>0</v>
      </c>
      <c r="K588" s="1079"/>
      <c r="L588" s="1079"/>
      <c r="M588" s="1079"/>
      <c r="N588" s="1079"/>
      <c r="O588" s="1079"/>
      <c r="P588" s="1079"/>
      <c r="Q588" s="1419"/>
      <c r="R588" s="1419"/>
      <c r="S588" s="1419"/>
      <c r="T588" s="1419"/>
      <c r="U588" s="1419"/>
      <c r="V588" s="1419"/>
      <c r="W588" s="1419"/>
      <c r="X588" s="1419"/>
      <c r="Y588" s="1419"/>
      <c r="Z588" s="1419"/>
    </row>
    <row r="589" spans="1:26" ht="18.75">
      <c r="A589" s="1448"/>
      <c r="B589" s="1449"/>
      <c r="C589" s="1449"/>
      <c r="D589" s="1449"/>
      <c r="E589" s="1449"/>
      <c r="F589" s="1101"/>
      <c r="G589" s="1091"/>
      <c r="H589" s="1097" t="s">
        <v>34</v>
      </c>
      <c r="I589" s="1078"/>
      <c r="J589" s="1098">
        <v>0</v>
      </c>
      <c r="K589" s="1079"/>
      <c r="L589" s="1079"/>
      <c r="M589" s="1079"/>
      <c r="N589" s="1079"/>
      <c r="O589" s="1079"/>
      <c r="P589" s="1079"/>
      <c r="Q589" s="1419"/>
      <c r="R589" s="1419"/>
      <c r="S589" s="1419"/>
      <c r="T589" s="1419"/>
      <c r="U589" s="1419"/>
      <c r="V589" s="1419"/>
      <c r="W589" s="1419"/>
      <c r="X589" s="1419"/>
      <c r="Y589" s="1419"/>
      <c r="Z589" s="1419"/>
    </row>
    <row r="590" spans="1:26" ht="18.75">
      <c r="A590" s="1448"/>
      <c r="B590" s="1449"/>
      <c r="C590" s="1449"/>
      <c r="D590" s="1101" t="s">
        <v>251</v>
      </c>
      <c r="E590" s="1101"/>
      <c r="F590" s="1101"/>
      <c r="G590" s="1091"/>
      <c r="H590" s="1097" t="s">
        <v>46</v>
      </c>
      <c r="I590" s="1078"/>
      <c r="J590" s="1098">
        <v>0</v>
      </c>
      <c r="K590" s="1079"/>
      <c r="L590" s="1079"/>
      <c r="M590" s="1079"/>
      <c r="N590" s="1079"/>
      <c r="O590" s="1079"/>
      <c r="P590" s="1079"/>
      <c r="Q590" s="1419"/>
      <c r="R590" s="1419"/>
      <c r="S590" s="1419"/>
      <c r="T590" s="1419"/>
      <c r="U590" s="1419"/>
      <c r="V590" s="1419"/>
      <c r="W590" s="1419"/>
      <c r="X590" s="1419"/>
      <c r="Y590" s="1419"/>
      <c r="Z590" s="1419"/>
    </row>
    <row r="591" spans="1:26" ht="18.75">
      <c r="A591" s="1525"/>
      <c r="B591" s="1526"/>
      <c r="C591" s="1526"/>
      <c r="D591" s="1526"/>
      <c r="E591" s="1419"/>
      <c r="F591" s="1419"/>
      <c r="G591" s="1527"/>
      <c r="H591" s="1528" t="s">
        <v>34</v>
      </c>
      <c r="I591" s="1529"/>
      <c r="J591" s="1530">
        <v>0</v>
      </c>
      <c r="K591" s="1531"/>
      <c r="L591" s="1531"/>
      <c r="M591" s="1531"/>
      <c r="N591" s="1531"/>
      <c r="O591" s="1531"/>
      <c r="P591" s="1531"/>
      <c r="Q591" s="1419"/>
      <c r="R591" s="1419"/>
      <c r="S591" s="1419"/>
      <c r="T591" s="1419"/>
      <c r="U591" s="1419"/>
      <c r="V591" s="1419"/>
      <c r="W591" s="1419"/>
      <c r="X591" s="1419"/>
      <c r="Y591" s="1419"/>
      <c r="Z591" s="1419"/>
    </row>
    <row r="592" spans="1:26" ht="19.5">
      <c r="A592" s="1521"/>
      <c r="B592" s="1522" t="s">
        <v>252</v>
      </c>
      <c r="C592" s="1523"/>
      <c r="D592" s="1523"/>
      <c r="E592" s="1504"/>
      <c r="F592" s="1504"/>
      <c r="G592" s="1505"/>
      <c r="H592" s="1524" t="s">
        <v>46</v>
      </c>
      <c r="I592" s="1532">
        <f t="shared" ref="I592:J592" ca="1" si="253">I593</f>
        <v>2254.8200000000002</v>
      </c>
      <c r="J592" s="1507">
        <f t="shared" si="253"/>
        <v>0</v>
      </c>
      <c r="K592" s="1508">
        <f t="shared" ref="K592:K594" ca="1" si="254">IF(I592&gt;0,J592*100/I592,0)</f>
        <v>0</v>
      </c>
      <c r="L592" s="1509"/>
      <c r="M592" s="1509"/>
      <c r="N592" s="1509"/>
      <c r="O592" s="1509"/>
      <c r="P592" s="1509"/>
      <c r="Q592" s="1419"/>
      <c r="R592" s="1419"/>
      <c r="S592" s="1419"/>
      <c r="T592" s="1419"/>
      <c r="U592" s="1419"/>
      <c r="V592" s="1419"/>
      <c r="W592" s="1419"/>
      <c r="X592" s="1419"/>
      <c r="Y592" s="1419"/>
      <c r="Z592" s="1419"/>
    </row>
    <row r="593" spans="1:26" ht="19.5">
      <c r="A593" s="1448"/>
      <c r="B593" s="1449"/>
      <c r="C593" s="1458" t="s">
        <v>253</v>
      </c>
      <c r="D593" s="1449"/>
      <c r="E593" s="1449"/>
      <c r="F593" s="1101"/>
      <c r="G593" s="1091"/>
      <c r="H593" s="1105" t="s">
        <v>46</v>
      </c>
      <c r="I593" s="1533">
        <f ca="1">IFERROR(__xludf.DUMMYFUNCTION("IMPORTRANGE(""https://docs.google.com/spreadsheets/d/1QqKyyYR6Q21VydFLVH3TRQUabQu_ym0Zz7PgGX0-kHA/edit?usp=sharing"",""แผน!HJ62"")"),2254.82)</f>
        <v>2254.8200000000002</v>
      </c>
      <c r="J593" s="1106">
        <f t="shared" ref="J593:J594" si="255">J595+J603+J609</f>
        <v>0</v>
      </c>
      <c r="K593" s="1270">
        <f t="shared" ca="1" si="254"/>
        <v>0</v>
      </c>
      <c r="L593" s="1079"/>
      <c r="M593" s="1079"/>
      <c r="N593" s="1079"/>
      <c r="O593" s="1079"/>
      <c r="P593" s="1079"/>
      <c r="Q593" s="1419"/>
      <c r="R593" s="1419"/>
      <c r="S593" s="1419"/>
      <c r="T593" s="1419"/>
      <c r="U593" s="1419"/>
      <c r="V593" s="1419"/>
      <c r="W593" s="1419"/>
      <c r="X593" s="1419"/>
      <c r="Y593" s="1419"/>
      <c r="Z593" s="1419"/>
    </row>
    <row r="594" spans="1:26" ht="19.5">
      <c r="A594" s="1448"/>
      <c r="B594" s="1449"/>
      <c r="C594" s="1449"/>
      <c r="D594" s="1449"/>
      <c r="E594" s="1101"/>
      <c r="F594" s="1101"/>
      <c r="G594" s="1091"/>
      <c r="H594" s="1105" t="s">
        <v>34</v>
      </c>
      <c r="I594" s="1106">
        <f ca="1">IFERROR(__xludf.DUMMYFUNCTION("IMPORTRANGE(""https://docs.google.com/spreadsheets/d/1QqKyyYR6Q21VydFLVH3TRQUabQu_ym0Zz7PgGX0-kHA/edit?usp=sharing"",""แผน!HI62"")"),208)</f>
        <v>208</v>
      </c>
      <c r="J594" s="1106">
        <f t="shared" si="255"/>
        <v>0</v>
      </c>
      <c r="K594" s="1270">
        <f t="shared" ca="1" si="254"/>
        <v>0</v>
      </c>
      <c r="L594" s="1079"/>
      <c r="M594" s="1079"/>
      <c r="N594" s="1079"/>
      <c r="O594" s="1079"/>
      <c r="P594" s="1079"/>
      <c r="Q594" s="1419"/>
      <c r="R594" s="1419"/>
      <c r="S594" s="1419"/>
      <c r="T594" s="1419"/>
      <c r="U594" s="1419"/>
      <c r="V594" s="1419"/>
      <c r="W594" s="1419"/>
      <c r="X594" s="1419"/>
      <c r="Y594" s="1419"/>
      <c r="Z594" s="1419"/>
    </row>
    <row r="595" spans="1:26" ht="18.75">
      <c r="A595" s="1448"/>
      <c r="B595" s="1449"/>
      <c r="C595" s="1449" t="s">
        <v>254</v>
      </c>
      <c r="D595" s="1449"/>
      <c r="E595" s="1449"/>
      <c r="F595" s="1101"/>
      <c r="G595" s="1091"/>
      <c r="H595" s="1097" t="s">
        <v>46</v>
      </c>
      <c r="I595" s="1078"/>
      <c r="J595" s="1078">
        <f t="shared" ref="J595:J596" si="256">J597+J599</f>
        <v>0</v>
      </c>
      <c r="K595" s="1079"/>
      <c r="L595" s="1079"/>
      <c r="M595" s="1079"/>
      <c r="N595" s="1079"/>
      <c r="O595" s="1079"/>
      <c r="P595" s="1079"/>
      <c r="Q595" s="1419"/>
      <c r="R595" s="1419"/>
      <c r="S595" s="1419"/>
      <c r="T595" s="1419"/>
      <c r="U595" s="1419"/>
      <c r="V595" s="1419"/>
      <c r="W595" s="1419"/>
      <c r="X595" s="1419"/>
      <c r="Y595" s="1419"/>
      <c r="Z595" s="1419"/>
    </row>
    <row r="596" spans="1:26" ht="18.75">
      <c r="A596" s="1448"/>
      <c r="B596" s="1449"/>
      <c r="C596" s="1449"/>
      <c r="D596" s="1449"/>
      <c r="E596" s="1101"/>
      <c r="F596" s="1101"/>
      <c r="G596" s="1091"/>
      <c r="H596" s="1097" t="s">
        <v>34</v>
      </c>
      <c r="I596" s="1078"/>
      <c r="J596" s="1078">
        <f t="shared" si="256"/>
        <v>0</v>
      </c>
      <c r="K596" s="1079"/>
      <c r="L596" s="1079"/>
      <c r="M596" s="1079"/>
      <c r="N596" s="1079"/>
      <c r="O596" s="1079"/>
      <c r="P596" s="1079"/>
      <c r="Q596" s="1419"/>
      <c r="R596" s="1419"/>
      <c r="S596" s="1419"/>
      <c r="T596" s="1419"/>
      <c r="U596" s="1419"/>
      <c r="V596" s="1419"/>
      <c r="W596" s="1419"/>
      <c r="X596" s="1419"/>
      <c r="Y596" s="1419"/>
      <c r="Z596" s="1419"/>
    </row>
    <row r="597" spans="1:26" ht="18.75">
      <c r="A597" s="1448"/>
      <c r="B597" s="1449"/>
      <c r="C597" s="1449"/>
      <c r="D597" s="1168" t="s">
        <v>255</v>
      </c>
      <c r="E597" s="1101"/>
      <c r="F597" s="1101"/>
      <c r="G597" s="1091"/>
      <c r="H597" s="1097" t="s">
        <v>46</v>
      </c>
      <c r="I597" s="1078"/>
      <c r="J597" s="1098">
        <v>0</v>
      </c>
      <c r="K597" s="1079"/>
      <c r="L597" s="1079"/>
      <c r="M597" s="1079"/>
      <c r="N597" s="1079"/>
      <c r="O597" s="1079"/>
      <c r="P597" s="1079"/>
      <c r="Q597" s="1419"/>
      <c r="R597" s="1419"/>
      <c r="S597" s="1419"/>
      <c r="T597" s="1419"/>
      <c r="U597" s="1419"/>
      <c r="V597" s="1419"/>
      <c r="W597" s="1419"/>
      <c r="X597" s="1419"/>
      <c r="Y597" s="1419"/>
      <c r="Z597" s="1419"/>
    </row>
    <row r="598" spans="1:26" ht="18.75">
      <c r="A598" s="1448"/>
      <c r="B598" s="1449"/>
      <c r="C598" s="1449"/>
      <c r="D598" s="1449"/>
      <c r="E598" s="1101"/>
      <c r="F598" s="1101"/>
      <c r="G598" s="1091"/>
      <c r="H598" s="1097" t="s">
        <v>34</v>
      </c>
      <c r="I598" s="949"/>
      <c r="J598" s="1098">
        <v>0</v>
      </c>
      <c r="K598" s="1079"/>
      <c r="L598" s="1079"/>
      <c r="M598" s="1079"/>
      <c r="N598" s="1079"/>
      <c r="O598" s="1079"/>
      <c r="P598" s="1079"/>
      <c r="Q598" s="1419"/>
      <c r="R598" s="1419"/>
      <c r="S598" s="1419"/>
      <c r="T598" s="1419"/>
      <c r="U598" s="1419"/>
      <c r="V598" s="1419"/>
      <c r="W598" s="1419"/>
      <c r="X598" s="1419"/>
      <c r="Y598" s="1419"/>
      <c r="Z598" s="1419"/>
    </row>
    <row r="599" spans="1:26" ht="18.75">
      <c r="A599" s="1448"/>
      <c r="B599" s="1449"/>
      <c r="C599" s="1449"/>
      <c r="D599" s="1168" t="s">
        <v>256</v>
      </c>
      <c r="E599" s="1101"/>
      <c r="F599" s="1101"/>
      <c r="G599" s="1091"/>
      <c r="H599" s="1097" t="s">
        <v>46</v>
      </c>
      <c r="I599" s="949"/>
      <c r="J599" s="1098">
        <v>0</v>
      </c>
      <c r="K599" s="1079"/>
      <c r="L599" s="1079"/>
      <c r="M599" s="1079"/>
      <c r="N599" s="1079"/>
      <c r="O599" s="1079"/>
      <c r="P599" s="1079"/>
      <c r="Q599" s="1419"/>
      <c r="R599" s="1419"/>
      <c r="S599" s="1419"/>
      <c r="T599" s="1419"/>
      <c r="U599" s="1419"/>
      <c r="V599" s="1419"/>
      <c r="W599" s="1419"/>
      <c r="X599" s="1419"/>
      <c r="Y599" s="1419"/>
      <c r="Z599" s="1419"/>
    </row>
    <row r="600" spans="1:26" ht="18.75">
      <c r="A600" s="1448"/>
      <c r="B600" s="1449"/>
      <c r="C600" s="1449"/>
      <c r="D600" s="1449"/>
      <c r="E600" s="1101"/>
      <c r="F600" s="1101"/>
      <c r="G600" s="1091"/>
      <c r="H600" s="1097" t="s">
        <v>34</v>
      </c>
      <c r="I600" s="949"/>
      <c r="J600" s="1098">
        <v>0</v>
      </c>
      <c r="K600" s="1079"/>
      <c r="L600" s="1079"/>
      <c r="M600" s="1079"/>
      <c r="N600" s="1079"/>
      <c r="O600" s="1079"/>
      <c r="P600" s="1079"/>
      <c r="Q600" s="1419"/>
      <c r="R600" s="1419"/>
      <c r="S600" s="1419"/>
      <c r="T600" s="1419"/>
      <c r="U600" s="1419"/>
      <c r="V600" s="1419"/>
      <c r="W600" s="1419"/>
      <c r="X600" s="1419"/>
      <c r="Y600" s="1419"/>
      <c r="Z600" s="1419"/>
    </row>
    <row r="601" spans="1:26" ht="18.75">
      <c r="A601" s="1448"/>
      <c r="B601" s="1449"/>
      <c r="C601" s="1449"/>
      <c r="D601" s="1168" t="s">
        <v>257</v>
      </c>
      <c r="E601" s="1101"/>
      <c r="F601" s="1101"/>
      <c r="G601" s="1091"/>
      <c r="H601" s="1097" t="s">
        <v>46</v>
      </c>
      <c r="I601" s="949"/>
      <c r="J601" s="1098">
        <v>0</v>
      </c>
      <c r="K601" s="1079"/>
      <c r="L601" s="1079"/>
      <c r="M601" s="1079"/>
      <c r="N601" s="1079"/>
      <c r="O601" s="1079"/>
      <c r="P601" s="1079"/>
      <c r="Q601" s="1419"/>
      <c r="R601" s="1419"/>
      <c r="S601" s="1419"/>
      <c r="T601" s="1419"/>
      <c r="U601" s="1419"/>
      <c r="V601" s="1419"/>
      <c r="W601" s="1419"/>
      <c r="X601" s="1419"/>
      <c r="Y601" s="1419"/>
      <c r="Z601" s="1419"/>
    </row>
    <row r="602" spans="1:26" ht="18.75">
      <c r="A602" s="1448"/>
      <c r="B602" s="1449"/>
      <c r="C602" s="1449"/>
      <c r="D602" s="1449"/>
      <c r="E602" s="1101"/>
      <c r="F602" s="1101"/>
      <c r="G602" s="1091"/>
      <c r="H602" s="1097" t="s">
        <v>34</v>
      </c>
      <c r="I602" s="949"/>
      <c r="J602" s="1098">
        <v>0</v>
      </c>
      <c r="K602" s="1079"/>
      <c r="L602" s="1079"/>
      <c r="M602" s="1079"/>
      <c r="N602" s="1079"/>
      <c r="O602" s="1079"/>
      <c r="P602" s="1079"/>
      <c r="Q602" s="1419"/>
      <c r="R602" s="1419"/>
      <c r="S602" s="1419"/>
      <c r="T602" s="1419"/>
      <c r="U602" s="1419"/>
      <c r="V602" s="1419"/>
      <c r="W602" s="1419"/>
      <c r="X602" s="1419"/>
      <c r="Y602" s="1419"/>
      <c r="Z602" s="1419"/>
    </row>
    <row r="603" spans="1:26" ht="18.75">
      <c r="A603" s="1448"/>
      <c r="B603" s="1449"/>
      <c r="C603" s="1534" t="s">
        <v>258</v>
      </c>
      <c r="D603" s="1449"/>
      <c r="E603" s="1449"/>
      <c r="F603" s="1101"/>
      <c r="G603" s="1091"/>
      <c r="H603" s="1097" t="s">
        <v>46</v>
      </c>
      <c r="I603" s="949"/>
      <c r="J603" s="949">
        <f t="shared" ref="J603:J604" si="257">J605+J607</f>
        <v>0</v>
      </c>
      <c r="K603" s="1079"/>
      <c r="L603" s="1079"/>
      <c r="M603" s="1079"/>
      <c r="N603" s="1079"/>
      <c r="O603" s="1079"/>
      <c r="P603" s="1079"/>
      <c r="Q603" s="1419"/>
      <c r="R603" s="1419"/>
      <c r="S603" s="1419"/>
      <c r="T603" s="1419"/>
      <c r="U603" s="1419"/>
      <c r="V603" s="1419"/>
      <c r="W603" s="1419"/>
      <c r="X603" s="1419"/>
      <c r="Y603" s="1419"/>
      <c r="Z603" s="1419"/>
    </row>
    <row r="604" spans="1:26" ht="18.75">
      <c r="A604" s="1448"/>
      <c r="B604" s="1449"/>
      <c r="C604" s="1449"/>
      <c r="D604" s="1449"/>
      <c r="E604" s="1101"/>
      <c r="F604" s="1101"/>
      <c r="G604" s="1091"/>
      <c r="H604" s="1097" t="s">
        <v>34</v>
      </c>
      <c r="I604" s="949"/>
      <c r="J604" s="949">
        <f t="shared" si="257"/>
        <v>0</v>
      </c>
      <c r="K604" s="1079"/>
      <c r="L604" s="1079"/>
      <c r="M604" s="1079"/>
      <c r="N604" s="1079"/>
      <c r="O604" s="1079"/>
      <c r="P604" s="1079"/>
      <c r="Q604" s="1419"/>
      <c r="R604" s="1419"/>
      <c r="S604" s="1419"/>
      <c r="T604" s="1419"/>
      <c r="U604" s="1419"/>
      <c r="V604" s="1419"/>
      <c r="W604" s="1419"/>
      <c r="X604" s="1419"/>
      <c r="Y604" s="1419"/>
      <c r="Z604" s="1419"/>
    </row>
    <row r="605" spans="1:26" ht="18.75">
      <c r="A605" s="1448"/>
      <c r="B605" s="1449"/>
      <c r="C605" s="1449"/>
      <c r="D605" s="1534" t="s">
        <v>259</v>
      </c>
      <c r="E605" s="1101"/>
      <c r="F605" s="1101"/>
      <c r="G605" s="1091"/>
      <c r="H605" s="1097" t="s">
        <v>46</v>
      </c>
      <c r="I605" s="949"/>
      <c r="J605" s="1098">
        <v>0</v>
      </c>
      <c r="K605" s="1079"/>
      <c r="L605" s="1079"/>
      <c r="M605" s="1079"/>
      <c r="N605" s="1079"/>
      <c r="O605" s="1079"/>
      <c r="P605" s="1079"/>
      <c r="Q605" s="1419"/>
      <c r="R605" s="1419"/>
      <c r="S605" s="1419"/>
      <c r="T605" s="1419"/>
      <c r="U605" s="1419"/>
      <c r="V605" s="1419"/>
      <c r="W605" s="1419"/>
      <c r="X605" s="1419"/>
      <c r="Y605" s="1419"/>
      <c r="Z605" s="1419"/>
    </row>
    <row r="606" spans="1:26" ht="18.75">
      <c r="A606" s="1448"/>
      <c r="B606" s="1449"/>
      <c r="C606" s="1449"/>
      <c r="D606" s="1449"/>
      <c r="E606" s="1449"/>
      <c r="F606" s="1101"/>
      <c r="G606" s="1091"/>
      <c r="H606" s="1097" t="s">
        <v>34</v>
      </c>
      <c r="I606" s="949"/>
      <c r="J606" s="1098">
        <v>0</v>
      </c>
      <c r="K606" s="1079"/>
      <c r="L606" s="1079"/>
      <c r="M606" s="1079"/>
      <c r="N606" s="1079"/>
      <c r="O606" s="1079"/>
      <c r="P606" s="1079"/>
      <c r="Q606" s="1419"/>
      <c r="R606" s="1419"/>
      <c r="S606" s="1419"/>
      <c r="T606" s="1419"/>
      <c r="U606" s="1419"/>
      <c r="V606" s="1419"/>
      <c r="W606" s="1419"/>
      <c r="X606" s="1419"/>
      <c r="Y606" s="1419"/>
      <c r="Z606" s="1419"/>
    </row>
    <row r="607" spans="1:26" ht="18.75">
      <c r="A607" s="1448"/>
      <c r="B607" s="1449"/>
      <c r="C607" s="1449"/>
      <c r="D607" s="1534" t="s">
        <v>260</v>
      </c>
      <c r="E607" s="1449"/>
      <c r="F607" s="1101"/>
      <c r="G607" s="1091"/>
      <c r="H607" s="1097" t="s">
        <v>46</v>
      </c>
      <c r="I607" s="949"/>
      <c r="J607" s="1098">
        <v>0</v>
      </c>
      <c r="K607" s="1079"/>
      <c r="L607" s="1079"/>
      <c r="M607" s="1079"/>
      <c r="N607" s="1079"/>
      <c r="O607" s="1079"/>
      <c r="P607" s="1079"/>
      <c r="Q607" s="1419"/>
      <c r="R607" s="1419"/>
      <c r="S607" s="1419"/>
      <c r="T607" s="1419"/>
      <c r="U607" s="1419"/>
      <c r="V607" s="1419"/>
      <c r="W607" s="1419"/>
      <c r="X607" s="1419"/>
      <c r="Y607" s="1419"/>
      <c r="Z607" s="1419"/>
    </row>
    <row r="608" spans="1:26" ht="18.75">
      <c r="A608" s="1448"/>
      <c r="B608" s="1449"/>
      <c r="C608" s="1449"/>
      <c r="D608" s="1449"/>
      <c r="E608" s="1101"/>
      <c r="F608" s="1101"/>
      <c r="G608" s="1091"/>
      <c r="H608" s="1097" t="s">
        <v>34</v>
      </c>
      <c r="I608" s="949"/>
      <c r="J608" s="1098">
        <v>0</v>
      </c>
      <c r="K608" s="1079"/>
      <c r="L608" s="1079"/>
      <c r="M608" s="1079"/>
      <c r="N608" s="1079"/>
      <c r="O608" s="1079"/>
      <c r="P608" s="1079"/>
      <c r="Q608" s="1419"/>
      <c r="R608" s="1419"/>
      <c r="S608" s="1419"/>
      <c r="T608" s="1419"/>
      <c r="U608" s="1419"/>
      <c r="V608" s="1419"/>
      <c r="W608" s="1419"/>
      <c r="X608" s="1419"/>
      <c r="Y608" s="1419"/>
      <c r="Z608" s="1419"/>
    </row>
    <row r="609" spans="1:26" ht="18.75">
      <c r="A609" s="1448"/>
      <c r="B609" s="1449"/>
      <c r="C609" s="1449" t="s">
        <v>261</v>
      </c>
      <c r="D609" s="1449"/>
      <c r="E609" s="1449"/>
      <c r="F609" s="1101"/>
      <c r="G609" s="1091"/>
      <c r="H609" s="1097" t="s">
        <v>46</v>
      </c>
      <c r="I609" s="949"/>
      <c r="J609" s="1098">
        <v>0</v>
      </c>
      <c r="K609" s="1079"/>
      <c r="L609" s="1079"/>
      <c r="M609" s="1079"/>
      <c r="N609" s="1079"/>
      <c r="O609" s="1079"/>
      <c r="P609" s="1079"/>
      <c r="Q609" s="1419"/>
      <c r="R609" s="1419"/>
      <c r="S609" s="1419"/>
      <c r="T609" s="1419"/>
      <c r="U609" s="1419"/>
      <c r="V609" s="1419"/>
      <c r="W609" s="1419"/>
      <c r="X609" s="1419"/>
      <c r="Y609" s="1419"/>
      <c r="Z609" s="1419"/>
    </row>
    <row r="610" spans="1:26" ht="18.75">
      <c r="A610" s="1448"/>
      <c r="B610" s="1449"/>
      <c r="C610" s="1449"/>
      <c r="D610" s="1449"/>
      <c r="E610" s="1101"/>
      <c r="F610" s="1101"/>
      <c r="G610" s="1091"/>
      <c r="H610" s="1097" t="s">
        <v>34</v>
      </c>
      <c r="I610" s="949"/>
      <c r="J610" s="1098">
        <v>0</v>
      </c>
      <c r="K610" s="1079"/>
      <c r="L610" s="1079"/>
      <c r="M610" s="1079"/>
      <c r="N610" s="1079"/>
      <c r="O610" s="1079"/>
      <c r="P610" s="1079"/>
      <c r="Q610" s="1419"/>
      <c r="R610" s="1419"/>
      <c r="S610" s="1419"/>
      <c r="T610" s="1419"/>
      <c r="U610" s="1419"/>
      <c r="V610" s="1419"/>
      <c r="W610" s="1419"/>
      <c r="X610" s="1419"/>
      <c r="Y610" s="1419"/>
      <c r="Z610" s="1419"/>
    </row>
    <row r="611" spans="1:26" ht="19.5" hidden="1">
      <c r="A611" s="1521"/>
      <c r="B611" s="1535" t="s">
        <v>262</v>
      </c>
      <c r="C611" s="1523"/>
      <c r="D611" s="1523"/>
      <c r="E611" s="1504"/>
      <c r="F611" s="1504"/>
      <c r="G611" s="1505"/>
      <c r="H611" s="1536" t="s">
        <v>46</v>
      </c>
      <c r="I611" s="1507">
        <v>0</v>
      </c>
      <c r="J611" s="1507">
        <f>J614+J616</f>
        <v>0</v>
      </c>
      <c r="K611" s="1508">
        <f t="shared" ref="K611:K613" si="258">IF(I611&gt;0,J611*100/I611,0)</f>
        <v>0</v>
      </c>
      <c r="L611" s="1509"/>
      <c r="M611" s="1509"/>
      <c r="N611" s="1509"/>
      <c r="O611" s="1509"/>
      <c r="P611" s="1509"/>
      <c r="Q611" s="1419"/>
      <c r="R611" s="1419"/>
      <c r="S611" s="1419"/>
      <c r="T611" s="1419"/>
      <c r="U611" s="1419"/>
      <c r="V611" s="1419"/>
      <c r="W611" s="1419"/>
      <c r="X611" s="1419"/>
      <c r="Y611" s="1419"/>
      <c r="Z611" s="1419"/>
    </row>
    <row r="612" spans="1:26" ht="19.5" hidden="1">
      <c r="A612" s="1537"/>
      <c r="B612" s="1538"/>
      <c r="C612" s="1539" t="s">
        <v>263</v>
      </c>
      <c r="D612" s="1538"/>
      <c r="E612" s="1538"/>
      <c r="F612" s="1540"/>
      <c r="G612" s="1541"/>
      <c r="H612" s="1542" t="s">
        <v>46</v>
      </c>
      <c r="I612" s="1543">
        <v>0</v>
      </c>
      <c r="J612" s="1543">
        <f t="shared" ref="J612:J613" si="259">J614+J616</f>
        <v>0</v>
      </c>
      <c r="K612" s="1544">
        <f t="shared" si="258"/>
        <v>0</v>
      </c>
      <c r="L612" s="1545"/>
      <c r="M612" s="1545"/>
      <c r="N612" s="1545"/>
      <c r="O612" s="1545"/>
      <c r="P612" s="1545"/>
      <c r="Q612" s="1445"/>
      <c r="R612" s="1445"/>
      <c r="S612" s="1445"/>
      <c r="T612" s="1445"/>
      <c r="U612" s="1445"/>
      <c r="V612" s="1445"/>
      <c r="W612" s="1445"/>
      <c r="X612" s="1445"/>
      <c r="Y612" s="1445"/>
      <c r="Z612" s="1445"/>
    </row>
    <row r="613" spans="1:26" ht="19.5" hidden="1">
      <c r="A613" s="1537"/>
      <c r="B613" s="1538"/>
      <c r="C613" s="1538" t="s">
        <v>264</v>
      </c>
      <c r="D613" s="1538"/>
      <c r="E613" s="1538"/>
      <c r="F613" s="1540"/>
      <c r="G613" s="1541"/>
      <c r="H613" s="1542" t="s">
        <v>34</v>
      </c>
      <c r="I613" s="1543">
        <v>0</v>
      </c>
      <c r="J613" s="1543">
        <f t="shared" si="259"/>
        <v>0</v>
      </c>
      <c r="K613" s="1544">
        <f t="shared" si="258"/>
        <v>0</v>
      </c>
      <c r="L613" s="1545"/>
      <c r="M613" s="1545"/>
      <c r="N613" s="1545"/>
      <c r="O613" s="1545"/>
      <c r="P613" s="1545"/>
      <c r="Q613" s="1445"/>
      <c r="R613" s="1445"/>
      <c r="S613" s="1445"/>
      <c r="T613" s="1445"/>
      <c r="U613" s="1445"/>
      <c r="V613" s="1445"/>
      <c r="W613" s="1445"/>
      <c r="X613" s="1445"/>
      <c r="Y613" s="1445"/>
      <c r="Z613" s="1445"/>
    </row>
    <row r="614" spans="1:26" ht="18.75" hidden="1">
      <c r="A614" s="1454"/>
      <c r="B614" s="1455"/>
      <c r="C614" s="1455"/>
      <c r="D614" s="1443" t="s">
        <v>265</v>
      </c>
      <c r="E614" s="1455"/>
      <c r="F614" s="1443"/>
      <c r="G614" s="1216"/>
      <c r="H614" s="1219" t="s">
        <v>46</v>
      </c>
      <c r="I614" s="956"/>
      <c r="J614" s="956">
        <v>0</v>
      </c>
      <c r="K614" s="1083"/>
      <c r="L614" s="1083"/>
      <c r="M614" s="1083"/>
      <c r="N614" s="1083"/>
      <c r="O614" s="1083"/>
      <c r="P614" s="1083"/>
      <c r="Q614" s="1445"/>
      <c r="R614" s="1445"/>
      <c r="S614" s="1445"/>
      <c r="T614" s="1445"/>
      <c r="U614" s="1445"/>
      <c r="V614" s="1445"/>
      <c r="W614" s="1445"/>
      <c r="X614" s="1445"/>
      <c r="Y614" s="1445"/>
      <c r="Z614" s="1445"/>
    </row>
    <row r="615" spans="1:26" ht="18.75" hidden="1">
      <c r="A615" s="1454"/>
      <c r="B615" s="1455"/>
      <c r="C615" s="1455"/>
      <c r="D615" s="1455"/>
      <c r="E615" s="1455"/>
      <c r="F615" s="1443"/>
      <c r="G615" s="1216"/>
      <c r="H615" s="1219" t="s">
        <v>34</v>
      </c>
      <c r="I615" s="956"/>
      <c r="J615" s="956">
        <v>0</v>
      </c>
      <c r="K615" s="1083"/>
      <c r="L615" s="1083"/>
      <c r="M615" s="1083"/>
      <c r="N615" s="1083"/>
      <c r="O615" s="1083"/>
      <c r="P615" s="1083"/>
      <c r="Q615" s="1445"/>
      <c r="R615" s="1445"/>
      <c r="S615" s="1445"/>
      <c r="T615" s="1445"/>
      <c r="U615" s="1445"/>
      <c r="V615" s="1445"/>
      <c r="W615" s="1445"/>
      <c r="X615" s="1445"/>
      <c r="Y615" s="1445"/>
      <c r="Z615" s="1445"/>
    </row>
    <row r="616" spans="1:26" ht="18.75" hidden="1">
      <c r="A616" s="1454"/>
      <c r="B616" s="1455"/>
      <c r="C616" s="1455"/>
      <c r="D616" s="1546" t="s">
        <v>265</v>
      </c>
      <c r="E616" s="1443"/>
      <c r="F616" s="1443"/>
      <c r="G616" s="1216"/>
      <c r="H616" s="1219" t="s">
        <v>46</v>
      </c>
      <c r="I616" s="956"/>
      <c r="J616" s="956">
        <v>0</v>
      </c>
      <c r="K616" s="1083"/>
      <c r="L616" s="1083"/>
      <c r="M616" s="1083"/>
      <c r="N616" s="1083"/>
      <c r="O616" s="1083"/>
      <c r="P616" s="1083"/>
      <c r="Q616" s="1445"/>
      <c r="R616" s="1445"/>
      <c r="S616" s="1445"/>
      <c r="T616" s="1445"/>
      <c r="U616" s="1445"/>
      <c r="V616" s="1445"/>
      <c r="W616" s="1445"/>
      <c r="X616" s="1445"/>
      <c r="Y616" s="1445"/>
      <c r="Z616" s="1445"/>
    </row>
    <row r="617" spans="1:26" ht="18.75" hidden="1">
      <c r="A617" s="1454"/>
      <c r="B617" s="1455"/>
      <c r="C617" s="1455"/>
      <c r="D617" s="1455"/>
      <c r="E617" s="1443"/>
      <c r="F617" s="1443"/>
      <c r="G617" s="1216"/>
      <c r="H617" s="1219" t="s">
        <v>34</v>
      </c>
      <c r="I617" s="956"/>
      <c r="J617" s="956">
        <v>0</v>
      </c>
      <c r="K617" s="1083"/>
      <c r="L617" s="1083"/>
      <c r="M617" s="1083"/>
      <c r="N617" s="1083"/>
      <c r="O617" s="1083"/>
      <c r="P617" s="1083"/>
      <c r="Q617" s="1445"/>
      <c r="R617" s="1445"/>
      <c r="S617" s="1445"/>
      <c r="T617" s="1445"/>
      <c r="U617" s="1445"/>
      <c r="V617" s="1445"/>
      <c r="W617" s="1445"/>
      <c r="X617" s="1445"/>
      <c r="Y617" s="1445"/>
      <c r="Z617" s="1445"/>
    </row>
    <row r="618" spans="1:26" ht="18.75" hidden="1">
      <c r="A618" s="1454"/>
      <c r="B618" s="1455"/>
      <c r="C618" s="1455"/>
      <c r="D618" s="1546" t="s">
        <v>266</v>
      </c>
      <c r="E618" s="1443"/>
      <c r="F618" s="1443"/>
      <c r="G618" s="1216"/>
      <c r="H618" s="1219" t="s">
        <v>46</v>
      </c>
      <c r="I618" s="956"/>
      <c r="J618" s="956">
        <v>0</v>
      </c>
      <c r="K618" s="1083"/>
      <c r="L618" s="1083"/>
      <c r="M618" s="1083"/>
      <c r="N618" s="1083"/>
      <c r="O618" s="1083"/>
      <c r="P618" s="1083"/>
      <c r="Q618" s="1445"/>
      <c r="R618" s="1445"/>
      <c r="S618" s="1445"/>
      <c r="T618" s="1445"/>
      <c r="U618" s="1445"/>
      <c r="V618" s="1445"/>
      <c r="W618" s="1445"/>
      <c r="X618" s="1445"/>
      <c r="Y618" s="1445"/>
      <c r="Z618" s="1445"/>
    </row>
    <row r="619" spans="1:26" ht="18.75" hidden="1">
      <c r="A619" s="1454"/>
      <c r="B619" s="1455"/>
      <c r="C619" s="1455"/>
      <c r="D619" s="1455"/>
      <c r="E619" s="1443"/>
      <c r="F619" s="1443"/>
      <c r="G619" s="1216"/>
      <c r="H619" s="1219" t="s">
        <v>34</v>
      </c>
      <c r="I619" s="956"/>
      <c r="J619" s="956">
        <v>0</v>
      </c>
      <c r="K619" s="1083"/>
      <c r="L619" s="1083"/>
      <c r="M619" s="1083"/>
      <c r="N619" s="1083"/>
      <c r="O619" s="1083"/>
      <c r="P619" s="1083"/>
      <c r="Q619" s="1445"/>
      <c r="R619" s="1445"/>
      <c r="S619" s="1445"/>
      <c r="T619" s="1445"/>
      <c r="U619" s="1445"/>
      <c r="V619" s="1445"/>
      <c r="W619" s="1445"/>
      <c r="X619" s="1445"/>
      <c r="Y619" s="1445"/>
      <c r="Z619" s="1445"/>
    </row>
    <row r="620" spans="1:26" ht="19.5" hidden="1">
      <c r="A620" s="1547"/>
      <c r="B620" s="1548"/>
      <c r="C620" s="1549" t="s">
        <v>267</v>
      </c>
      <c r="D620" s="1548"/>
      <c r="E620" s="1548"/>
      <c r="F620" s="1550"/>
      <c r="G620" s="1551"/>
      <c r="H620" s="1552" t="s">
        <v>46</v>
      </c>
      <c r="I620" s="1553">
        <f ca="1">IFERROR(__xludf.DUMMYFUNCTION("IMPORTRANGE(""https://docs.google.com/spreadsheets/d/1QqKyyYR6Q21VydFLVH3TRQUabQu_ym0Zz7PgGX0-kHA/edit?usp=sharing"",""แผน!HL62"")"),0)</f>
        <v>0</v>
      </c>
      <c r="J620" s="1553">
        <f t="shared" ref="J620:J621" si="260">J622+J624+J626</f>
        <v>0</v>
      </c>
      <c r="K620" s="1554">
        <f t="shared" ref="K620:K621" ca="1" si="261">IF(I620&gt;0,J620*100/I620,0)</f>
        <v>0</v>
      </c>
      <c r="L620" s="1555"/>
      <c r="M620" s="1555"/>
      <c r="N620" s="1555"/>
      <c r="O620" s="1555"/>
      <c r="P620" s="1555"/>
      <c r="Q620" s="1419"/>
      <c r="R620" s="1419"/>
      <c r="S620" s="1419"/>
      <c r="T620" s="1419"/>
      <c r="U620" s="1419"/>
      <c r="V620" s="1419"/>
      <c r="W620" s="1419"/>
      <c r="X620" s="1419"/>
      <c r="Y620" s="1419"/>
      <c r="Z620" s="1419"/>
    </row>
    <row r="621" spans="1:26" ht="19.5" hidden="1">
      <c r="A621" s="1547"/>
      <c r="B621" s="1548"/>
      <c r="C621" s="1548" t="s">
        <v>268</v>
      </c>
      <c r="D621" s="1548"/>
      <c r="E621" s="1548"/>
      <c r="F621" s="1550"/>
      <c r="G621" s="1551"/>
      <c r="H621" s="1552" t="s">
        <v>34</v>
      </c>
      <c r="I621" s="1553">
        <f ca="1">IFERROR(__xludf.DUMMYFUNCTION("IMPORTRANGE(""https://docs.google.com/spreadsheets/d/1QqKyyYR6Q21VydFLVH3TRQUabQu_ym0Zz7PgGX0-kHA/edit?usp=sharing"",""แผน!HK62"")"),0)</f>
        <v>0</v>
      </c>
      <c r="J621" s="1553">
        <f t="shared" si="260"/>
        <v>0</v>
      </c>
      <c r="K621" s="1554">
        <f t="shared" ca="1" si="261"/>
        <v>0</v>
      </c>
      <c r="L621" s="1555"/>
      <c r="M621" s="1555"/>
      <c r="N621" s="1555"/>
      <c r="O621" s="1555"/>
      <c r="P621" s="1555"/>
      <c r="Q621" s="1419"/>
      <c r="R621" s="1419"/>
      <c r="S621" s="1419"/>
      <c r="T621" s="1419"/>
      <c r="U621" s="1419"/>
      <c r="V621" s="1419"/>
      <c r="W621" s="1419"/>
      <c r="X621" s="1419"/>
      <c r="Y621" s="1419"/>
      <c r="Z621" s="1419"/>
    </row>
    <row r="622" spans="1:26" ht="18.75" hidden="1">
      <c r="A622" s="1448"/>
      <c r="B622" s="1449"/>
      <c r="C622" s="1449"/>
      <c r="D622" s="1168" t="s">
        <v>269</v>
      </c>
      <c r="E622" s="1101"/>
      <c r="F622" s="1101"/>
      <c r="G622" s="1091"/>
      <c r="H622" s="1097" t="s">
        <v>46</v>
      </c>
      <c r="I622" s="949"/>
      <c r="J622" s="1098">
        <v>0</v>
      </c>
      <c r="K622" s="1079"/>
      <c r="L622" s="1079"/>
      <c r="M622" s="1079"/>
      <c r="N622" s="1079"/>
      <c r="O622" s="1079"/>
      <c r="P622" s="1079"/>
      <c r="Q622" s="1419"/>
      <c r="R622" s="1419"/>
      <c r="S622" s="1419"/>
      <c r="T622" s="1419"/>
      <c r="U622" s="1419"/>
      <c r="V622" s="1419"/>
      <c r="W622" s="1419"/>
      <c r="X622" s="1419"/>
      <c r="Y622" s="1419"/>
      <c r="Z622" s="1419"/>
    </row>
    <row r="623" spans="1:26" ht="18.75" hidden="1">
      <c r="A623" s="1448"/>
      <c r="B623" s="1449"/>
      <c r="C623" s="1449"/>
      <c r="D623" s="1449"/>
      <c r="E623" s="1101"/>
      <c r="F623" s="1101"/>
      <c r="G623" s="1091"/>
      <c r="H623" s="1097" t="s">
        <v>34</v>
      </c>
      <c r="I623" s="949"/>
      <c r="J623" s="1098">
        <v>0</v>
      </c>
      <c r="K623" s="1079"/>
      <c r="L623" s="1079"/>
      <c r="M623" s="1079"/>
      <c r="N623" s="1079"/>
      <c r="O623" s="1079"/>
      <c r="P623" s="1079"/>
      <c r="Q623" s="1419"/>
      <c r="R623" s="1419"/>
      <c r="S623" s="1419"/>
      <c r="T623" s="1419"/>
      <c r="U623" s="1419"/>
      <c r="V623" s="1419"/>
      <c r="W623" s="1419"/>
      <c r="X623" s="1419"/>
      <c r="Y623" s="1419"/>
      <c r="Z623" s="1419"/>
    </row>
    <row r="624" spans="1:26" ht="18.75" hidden="1">
      <c r="A624" s="1448"/>
      <c r="B624" s="1449"/>
      <c r="C624" s="1449"/>
      <c r="D624" s="1168" t="s">
        <v>265</v>
      </c>
      <c r="E624" s="1101"/>
      <c r="F624" s="1101"/>
      <c r="G624" s="1091"/>
      <c r="H624" s="1097" t="s">
        <v>46</v>
      </c>
      <c r="I624" s="949"/>
      <c r="J624" s="1098">
        <v>0</v>
      </c>
      <c r="K624" s="1079"/>
      <c r="L624" s="1079"/>
      <c r="M624" s="1079"/>
      <c r="N624" s="1079"/>
      <c r="O624" s="1079"/>
      <c r="P624" s="1079"/>
      <c r="Q624" s="1419"/>
      <c r="R624" s="1419"/>
      <c r="S624" s="1419"/>
      <c r="T624" s="1419"/>
      <c r="U624" s="1419"/>
      <c r="V624" s="1419"/>
      <c r="W624" s="1419"/>
      <c r="X624" s="1419"/>
      <c r="Y624" s="1419"/>
      <c r="Z624" s="1419"/>
    </row>
    <row r="625" spans="1:26" ht="18.75" hidden="1">
      <c r="A625" s="1448"/>
      <c r="B625" s="1449"/>
      <c r="C625" s="1449"/>
      <c r="D625" s="1449"/>
      <c r="E625" s="1101"/>
      <c r="F625" s="1101"/>
      <c r="G625" s="1091"/>
      <c r="H625" s="1097" t="s">
        <v>34</v>
      </c>
      <c r="I625" s="949"/>
      <c r="J625" s="1098">
        <v>0</v>
      </c>
      <c r="K625" s="1079"/>
      <c r="L625" s="1079"/>
      <c r="M625" s="1079"/>
      <c r="N625" s="1079"/>
      <c r="O625" s="1079"/>
      <c r="P625" s="1079"/>
      <c r="Q625" s="1419"/>
      <c r="R625" s="1419"/>
      <c r="S625" s="1419"/>
      <c r="T625" s="1419"/>
      <c r="U625" s="1419"/>
      <c r="V625" s="1419"/>
      <c r="W625" s="1419"/>
      <c r="X625" s="1419"/>
      <c r="Y625" s="1419"/>
      <c r="Z625" s="1419"/>
    </row>
    <row r="626" spans="1:26" ht="18.75" hidden="1">
      <c r="A626" s="1448"/>
      <c r="B626" s="1449"/>
      <c r="C626" s="1449"/>
      <c r="D626" s="1168" t="s">
        <v>270</v>
      </c>
      <c r="E626" s="1101"/>
      <c r="F626" s="1101"/>
      <c r="G626" s="1091"/>
      <c r="H626" s="1097" t="s">
        <v>46</v>
      </c>
      <c r="I626" s="949"/>
      <c r="J626" s="1098">
        <v>0</v>
      </c>
      <c r="K626" s="1079"/>
      <c r="L626" s="1079"/>
      <c r="M626" s="1079"/>
      <c r="N626" s="1079"/>
      <c r="O626" s="1079"/>
      <c r="P626" s="1079"/>
      <c r="Q626" s="1419"/>
      <c r="R626" s="1419"/>
      <c r="S626" s="1419"/>
      <c r="T626" s="1419"/>
      <c r="U626" s="1419"/>
      <c r="V626" s="1419"/>
      <c r="W626" s="1419"/>
      <c r="X626" s="1419"/>
      <c r="Y626" s="1419"/>
      <c r="Z626" s="1419"/>
    </row>
    <row r="627" spans="1:26" ht="18.75" hidden="1">
      <c r="A627" s="1556"/>
      <c r="B627" s="1557"/>
      <c r="C627" s="1557"/>
      <c r="D627" s="1557"/>
      <c r="E627" s="1276"/>
      <c r="F627" s="1276"/>
      <c r="G627" s="1558"/>
      <c r="H627" s="1277" t="s">
        <v>34</v>
      </c>
      <c r="I627" s="1244"/>
      <c r="J627" s="1279">
        <v>0</v>
      </c>
      <c r="K627" s="1245"/>
      <c r="L627" s="1245"/>
      <c r="M627" s="1245"/>
      <c r="N627" s="1245"/>
      <c r="O627" s="1245"/>
      <c r="P627" s="1245"/>
      <c r="Q627" s="1419"/>
      <c r="R627" s="1419"/>
      <c r="S627" s="1419"/>
      <c r="T627" s="1419"/>
      <c r="U627" s="1419"/>
      <c r="V627" s="1419"/>
      <c r="W627" s="1419"/>
      <c r="X627" s="1419"/>
      <c r="Y627" s="1419"/>
      <c r="Z627" s="1419"/>
    </row>
    <row r="628" spans="1:26" ht="19.5">
      <c r="A628" s="1559">
        <v>7</v>
      </c>
      <c r="B628" s="1560" t="s">
        <v>271</v>
      </c>
      <c r="C628" s="1561"/>
      <c r="D628" s="1561"/>
      <c r="E628" s="1561"/>
      <c r="F628" s="1561"/>
      <c r="G628" s="1562"/>
      <c r="H628" s="1563" t="s">
        <v>35</v>
      </c>
      <c r="I628" s="1564">
        <f t="shared" ref="I628:J628" ca="1" si="262">I651</f>
        <v>60</v>
      </c>
      <c r="J628" s="1564">
        <f t="shared" ca="1" si="262"/>
        <v>0</v>
      </c>
      <c r="K628" s="1565">
        <f ca="1">IF(I628&gt;0,J628*100/I628,0)</f>
        <v>0</v>
      </c>
      <c r="L628" s="1566"/>
      <c r="M628" s="1566"/>
      <c r="N628" s="1566"/>
      <c r="O628" s="1566"/>
      <c r="P628" s="1566"/>
      <c r="Q628" s="1419"/>
      <c r="R628" s="1419"/>
      <c r="S628" s="1419"/>
      <c r="T628" s="1419"/>
      <c r="U628" s="1419"/>
      <c r="V628" s="1419"/>
      <c r="W628" s="1419"/>
      <c r="X628" s="1419"/>
      <c r="Y628" s="1419"/>
      <c r="Z628" s="1419"/>
    </row>
    <row r="629" spans="1:26" ht="19.5">
      <c r="A629" s="1438"/>
      <c r="B629" s="1418"/>
      <c r="C629" s="1418" t="s">
        <v>16</v>
      </c>
      <c r="D629" s="1439" t="s">
        <v>17</v>
      </c>
      <c r="E629" s="987"/>
      <c r="F629" s="987"/>
      <c r="G629" s="1103"/>
      <c r="H629" s="1440" t="s">
        <v>12</v>
      </c>
      <c r="I629" s="949"/>
      <c r="J629" s="949"/>
      <c r="K629" s="950"/>
      <c r="L629" s="1108">
        <f t="shared" ref="L629:N629" ca="1" si="263">L630+L631</f>
        <v>329630</v>
      </c>
      <c r="M629" s="1108">
        <f t="shared" ca="1" si="263"/>
        <v>329630</v>
      </c>
      <c r="N629" s="1108">
        <f t="shared" si="263"/>
        <v>87669.06</v>
      </c>
      <c r="O629" s="1108">
        <f t="shared" ref="O629:O634" ca="1" si="264">IF(L629&gt;0,N629*100/L629,0)</f>
        <v>26.596201802020449</v>
      </c>
      <c r="P629" s="1108">
        <f t="shared" ref="P629:P634" ca="1" si="265">IF(M629&gt;0,N629*100/M629,0)</f>
        <v>26.596201802020449</v>
      </c>
      <c r="Q629" s="1419"/>
      <c r="R629" s="1419"/>
      <c r="S629" s="1419"/>
      <c r="T629" s="1419"/>
      <c r="U629" s="1419"/>
      <c r="V629" s="1419"/>
      <c r="W629" s="1419"/>
      <c r="X629" s="1419"/>
      <c r="Y629" s="1419"/>
      <c r="Z629" s="1419"/>
    </row>
    <row r="630" spans="1:26" ht="18.75" hidden="1">
      <c r="A630" s="1441"/>
      <c r="B630" s="1442"/>
      <c r="C630" s="1442"/>
      <c r="D630" s="1443"/>
      <c r="E630" s="1442" t="s">
        <v>185</v>
      </c>
      <c r="F630" s="1442"/>
      <c r="G630" s="1444"/>
      <c r="H630" s="1081" t="s">
        <v>12</v>
      </c>
      <c r="I630" s="956"/>
      <c r="J630" s="956"/>
      <c r="K630" s="957"/>
      <c r="L630" s="957">
        <f t="shared" ref="L630:N631" si="266">L633+L640</f>
        <v>0</v>
      </c>
      <c r="M630" s="957">
        <f t="shared" si="266"/>
        <v>0</v>
      </c>
      <c r="N630" s="957">
        <f t="shared" si="266"/>
        <v>0</v>
      </c>
      <c r="O630" s="957">
        <f t="shared" si="264"/>
        <v>0</v>
      </c>
      <c r="P630" s="957">
        <f t="shared" si="265"/>
        <v>0</v>
      </c>
      <c r="Q630" s="1445"/>
      <c r="R630" s="1445"/>
      <c r="S630" s="1445"/>
      <c r="T630" s="1445"/>
      <c r="U630" s="1445"/>
      <c r="V630" s="1445"/>
      <c r="W630" s="1445"/>
      <c r="X630" s="1445"/>
      <c r="Y630" s="1445"/>
      <c r="Z630" s="1445"/>
    </row>
    <row r="631" spans="1:26" ht="18.75" hidden="1">
      <c r="A631" s="1441"/>
      <c r="B631" s="1446"/>
      <c r="C631" s="1442"/>
      <c r="D631" s="1443"/>
      <c r="E631" s="1442" t="s">
        <v>186</v>
      </c>
      <c r="F631" s="1442"/>
      <c r="G631" s="1444"/>
      <c r="H631" s="1081" t="s">
        <v>12</v>
      </c>
      <c r="I631" s="956"/>
      <c r="J631" s="956"/>
      <c r="K631" s="957"/>
      <c r="L631" s="957">
        <f t="shared" ca="1" si="266"/>
        <v>329630</v>
      </c>
      <c r="M631" s="957">
        <f t="shared" ca="1" si="266"/>
        <v>329630</v>
      </c>
      <c r="N631" s="957">
        <f t="shared" si="266"/>
        <v>87669.06</v>
      </c>
      <c r="O631" s="957">
        <f t="shared" ca="1" si="264"/>
        <v>26.596201802020449</v>
      </c>
      <c r="P631" s="957">
        <f t="shared" ca="1" si="265"/>
        <v>26.596201802020449</v>
      </c>
      <c r="Q631" s="1445"/>
      <c r="R631" s="1445"/>
      <c r="S631" s="1445"/>
      <c r="T631" s="1445"/>
      <c r="U631" s="1445"/>
      <c r="V631" s="1445"/>
      <c r="W631" s="1445"/>
      <c r="X631" s="1445"/>
      <c r="Y631" s="1445"/>
      <c r="Z631" s="1445"/>
    </row>
    <row r="632" spans="1:26" ht="18.75">
      <c r="A632" s="1438"/>
      <c r="B632" s="1417"/>
      <c r="C632" s="1418"/>
      <c r="D632" s="1447" t="s">
        <v>20</v>
      </c>
      <c r="E632" s="1418"/>
      <c r="F632" s="1418"/>
      <c r="G632" s="1103"/>
      <c r="H632" s="1077" t="s">
        <v>12</v>
      </c>
      <c r="I632" s="1078"/>
      <c r="J632" s="1078"/>
      <c r="K632" s="1079"/>
      <c r="L632" s="950">
        <f t="shared" ref="L632:N632" ca="1" si="267">L633+L634</f>
        <v>329630</v>
      </c>
      <c r="M632" s="950">
        <f t="shared" ca="1" si="267"/>
        <v>329630</v>
      </c>
      <c r="N632" s="950">
        <f t="shared" si="267"/>
        <v>87669.06</v>
      </c>
      <c r="O632" s="950">
        <f t="shared" ca="1" si="264"/>
        <v>26.596201802020449</v>
      </c>
      <c r="P632" s="950">
        <f t="shared" ca="1" si="265"/>
        <v>26.596201802020449</v>
      </c>
      <c r="Q632" s="1419"/>
      <c r="R632" s="1419"/>
      <c r="S632" s="1419"/>
      <c r="T632" s="1419"/>
      <c r="U632" s="1419"/>
      <c r="V632" s="1419"/>
      <c r="W632" s="1419"/>
      <c r="X632" s="1419"/>
      <c r="Y632" s="1419"/>
      <c r="Z632" s="1419"/>
    </row>
    <row r="633" spans="1:26" ht="18.75" hidden="1">
      <c r="A633" s="1441"/>
      <c r="B633" s="1446"/>
      <c r="C633" s="1442"/>
      <c r="D633" s="1443"/>
      <c r="E633" s="1442" t="s">
        <v>185</v>
      </c>
      <c r="F633" s="1442"/>
      <c r="G633" s="1444"/>
      <c r="H633" s="1081" t="s">
        <v>12</v>
      </c>
      <c r="I633" s="956"/>
      <c r="J633" s="956"/>
      <c r="K633" s="957"/>
      <c r="L633" s="957">
        <v>0</v>
      </c>
      <c r="M633" s="957">
        <v>0</v>
      </c>
      <c r="N633" s="957">
        <v>0</v>
      </c>
      <c r="O633" s="957">
        <f t="shared" si="264"/>
        <v>0</v>
      </c>
      <c r="P633" s="957">
        <f t="shared" si="265"/>
        <v>0</v>
      </c>
      <c r="Q633" s="1445"/>
      <c r="R633" s="1445"/>
      <c r="S633" s="1445"/>
      <c r="T633" s="1445"/>
      <c r="U633" s="1445"/>
      <c r="V633" s="1445"/>
      <c r="W633" s="1445"/>
      <c r="X633" s="1445"/>
      <c r="Y633" s="1445"/>
      <c r="Z633" s="1445"/>
    </row>
    <row r="634" spans="1:26" ht="18.75" hidden="1">
      <c r="A634" s="1441"/>
      <c r="B634" s="1446"/>
      <c r="C634" s="1442"/>
      <c r="D634" s="1443"/>
      <c r="E634" s="1442" t="s">
        <v>186</v>
      </c>
      <c r="F634" s="1442"/>
      <c r="G634" s="1444"/>
      <c r="H634" s="1081" t="s">
        <v>12</v>
      </c>
      <c r="I634" s="956"/>
      <c r="J634" s="956"/>
      <c r="K634" s="957"/>
      <c r="L634" s="957">
        <f ca="1">IFERROR(__xludf.DUMMYFUNCTION("IMPORTRANGE(""https://docs.google.com/spreadsheets/d/1QqKyyYR6Q21VydFLVH3TRQUabQu_ym0Zz7PgGX0-kHA/edit?usp=sharing"",""แผน!HN62"")"),329630)</f>
        <v>329630</v>
      </c>
      <c r="M634" s="957">
        <f ca="1">L634</f>
        <v>329630</v>
      </c>
      <c r="N634" s="957">
        <f>N635+N636+N637+N638</f>
        <v>87669.06</v>
      </c>
      <c r="O634" s="957">
        <f t="shared" ca="1" si="264"/>
        <v>26.596201802020449</v>
      </c>
      <c r="P634" s="957">
        <f t="shared" ca="1" si="265"/>
        <v>26.596201802020449</v>
      </c>
      <c r="Q634" s="1445"/>
      <c r="R634" s="1445"/>
      <c r="S634" s="1445"/>
      <c r="T634" s="1445"/>
      <c r="U634" s="1445"/>
      <c r="V634" s="1445"/>
      <c r="W634" s="1445"/>
      <c r="X634" s="1445"/>
      <c r="Y634" s="1445"/>
      <c r="Z634" s="1445"/>
    </row>
    <row r="635" spans="1:26" ht="18.75">
      <c r="A635" s="1416"/>
      <c r="B635" s="1417"/>
      <c r="C635" s="1418"/>
      <c r="D635" s="1418"/>
      <c r="E635" s="1418"/>
      <c r="F635" s="1418" t="s">
        <v>187</v>
      </c>
      <c r="G635" s="1103"/>
      <c r="H635" s="1077" t="s">
        <v>12</v>
      </c>
      <c r="I635" s="949"/>
      <c r="J635" s="949"/>
      <c r="K635" s="950"/>
      <c r="L635" s="950"/>
      <c r="M635" s="950"/>
      <c r="N635" s="1186">
        <v>0</v>
      </c>
      <c r="O635" s="950"/>
      <c r="P635" s="950"/>
      <c r="Q635" s="1419"/>
      <c r="R635" s="1419"/>
      <c r="S635" s="1419"/>
      <c r="T635" s="1419"/>
      <c r="U635" s="1419"/>
      <c r="V635" s="1419"/>
      <c r="W635" s="1419"/>
      <c r="X635" s="1419"/>
      <c r="Y635" s="1419"/>
      <c r="Z635" s="1419"/>
    </row>
    <row r="636" spans="1:26" ht="18.75">
      <c r="A636" s="1416"/>
      <c r="B636" s="1417"/>
      <c r="C636" s="1418"/>
      <c r="D636" s="1418"/>
      <c r="E636" s="1418"/>
      <c r="F636" s="1418" t="s">
        <v>188</v>
      </c>
      <c r="G636" s="1103"/>
      <c r="H636" s="1077" t="s">
        <v>12</v>
      </c>
      <c r="I636" s="949"/>
      <c r="J636" s="949"/>
      <c r="K636" s="950"/>
      <c r="L636" s="950"/>
      <c r="M636" s="950"/>
      <c r="N636" s="1186">
        <v>0</v>
      </c>
      <c r="O636" s="950"/>
      <c r="P636" s="950"/>
      <c r="Q636" s="1419"/>
      <c r="R636" s="1419"/>
      <c r="S636" s="1419"/>
      <c r="T636" s="1419"/>
      <c r="U636" s="1419"/>
      <c r="V636" s="1419"/>
      <c r="W636" s="1419"/>
      <c r="X636" s="1419"/>
      <c r="Y636" s="1419"/>
      <c r="Z636" s="1419"/>
    </row>
    <row r="637" spans="1:26" ht="18.75">
      <c r="A637" s="1416"/>
      <c r="B637" s="1417"/>
      <c r="C637" s="1418"/>
      <c r="D637" s="1418"/>
      <c r="E637" s="1418"/>
      <c r="F637" s="1418" t="s">
        <v>189</v>
      </c>
      <c r="G637" s="1103"/>
      <c r="H637" s="1077" t="s">
        <v>12</v>
      </c>
      <c r="I637" s="949"/>
      <c r="J637" s="949"/>
      <c r="K637" s="950"/>
      <c r="L637" s="950"/>
      <c r="M637" s="950"/>
      <c r="N637" s="1186">
        <f>64535.72+12133.34</f>
        <v>76669.06</v>
      </c>
      <c r="O637" s="950"/>
      <c r="P637" s="950"/>
      <c r="Q637" s="1419"/>
      <c r="R637" s="1419"/>
      <c r="S637" s="1419"/>
      <c r="T637" s="1419"/>
      <c r="U637" s="1419"/>
      <c r="V637" s="1419"/>
      <c r="W637" s="1419"/>
      <c r="X637" s="1419"/>
      <c r="Y637" s="1419"/>
      <c r="Z637" s="1419"/>
    </row>
    <row r="638" spans="1:26" ht="18.75">
      <c r="A638" s="1416"/>
      <c r="B638" s="1417"/>
      <c r="C638" s="1418"/>
      <c r="D638" s="1418"/>
      <c r="E638" s="1418"/>
      <c r="F638" s="1418" t="s">
        <v>190</v>
      </c>
      <c r="G638" s="1103"/>
      <c r="H638" s="1077" t="s">
        <v>12</v>
      </c>
      <c r="I638" s="949"/>
      <c r="J638" s="949"/>
      <c r="K638" s="950"/>
      <c r="L638" s="950"/>
      <c r="M638" s="950"/>
      <c r="N638" s="1186">
        <f>2000+9000</f>
        <v>11000</v>
      </c>
      <c r="O638" s="950"/>
      <c r="P638" s="950"/>
      <c r="Q638" s="1419"/>
      <c r="R638" s="1419"/>
      <c r="S638" s="1419"/>
      <c r="T638" s="1419"/>
      <c r="U638" s="1419"/>
      <c r="V638" s="1419"/>
      <c r="W638" s="1419"/>
      <c r="X638" s="1419"/>
      <c r="Y638" s="1419"/>
      <c r="Z638" s="1419"/>
    </row>
    <row r="639" spans="1:26" ht="18.75">
      <c r="A639" s="1438"/>
      <c r="B639" s="1417"/>
      <c r="C639" s="1418"/>
      <c r="D639" s="1447" t="s">
        <v>21</v>
      </c>
      <c r="E639" s="1418"/>
      <c r="F639" s="1418"/>
      <c r="G639" s="1103"/>
      <c r="H639" s="1084" t="s">
        <v>12</v>
      </c>
      <c r="I639" s="1078"/>
      <c r="J639" s="1078"/>
      <c r="K639" s="1079"/>
      <c r="L639" s="950">
        <f t="shared" ref="L639:N639" ca="1" si="268">L640+L641</f>
        <v>0</v>
      </c>
      <c r="M639" s="950">
        <f t="shared" si="268"/>
        <v>0</v>
      </c>
      <c r="N639" s="950">
        <f t="shared" si="268"/>
        <v>0</v>
      </c>
      <c r="O639" s="950">
        <f t="shared" ref="O639:O641" ca="1" si="269">IF(L639&gt;0,N639*100/L639,0)</f>
        <v>0</v>
      </c>
      <c r="P639" s="950">
        <f t="shared" ref="P639:P641" si="270">IF(M639&gt;0,N639*100/M639,0)</f>
        <v>0</v>
      </c>
      <c r="Q639" s="1419"/>
      <c r="R639" s="1419"/>
      <c r="S639" s="1419"/>
      <c r="T639" s="1419"/>
      <c r="U639" s="1419"/>
      <c r="V639" s="1419"/>
      <c r="W639" s="1419"/>
      <c r="X639" s="1419"/>
      <c r="Y639" s="1419"/>
      <c r="Z639" s="1419"/>
    </row>
    <row r="640" spans="1:26" ht="18.75" hidden="1">
      <c r="A640" s="1441"/>
      <c r="B640" s="1446"/>
      <c r="C640" s="1442"/>
      <c r="D640" s="1442"/>
      <c r="E640" s="1442" t="s">
        <v>18</v>
      </c>
      <c r="F640" s="1442"/>
      <c r="G640" s="1444"/>
      <c r="H640" s="1081" t="s">
        <v>12</v>
      </c>
      <c r="I640" s="1082"/>
      <c r="J640" s="1082"/>
      <c r="K640" s="1083"/>
      <c r="L640" s="957">
        <v>0</v>
      </c>
      <c r="M640" s="957">
        <v>0</v>
      </c>
      <c r="N640" s="957">
        <v>0</v>
      </c>
      <c r="O640" s="957">
        <f t="shared" si="269"/>
        <v>0</v>
      </c>
      <c r="P640" s="957">
        <f t="shared" si="270"/>
        <v>0</v>
      </c>
      <c r="Q640" s="1445"/>
      <c r="R640" s="1445"/>
      <c r="S640" s="1445"/>
      <c r="T640" s="1445"/>
      <c r="U640" s="1445"/>
      <c r="V640" s="1445"/>
      <c r="W640" s="1445"/>
      <c r="X640" s="1445"/>
      <c r="Y640" s="1445"/>
      <c r="Z640" s="1445"/>
    </row>
    <row r="641" spans="1:26" ht="18.75" hidden="1">
      <c r="A641" s="1441"/>
      <c r="B641" s="1446"/>
      <c r="C641" s="1442"/>
      <c r="D641" s="1442"/>
      <c r="E641" s="1442" t="s">
        <v>19</v>
      </c>
      <c r="F641" s="1442"/>
      <c r="G641" s="1444"/>
      <c r="H641" s="1085" t="s">
        <v>12</v>
      </c>
      <c r="I641" s="1082"/>
      <c r="J641" s="1082"/>
      <c r="K641" s="1083"/>
      <c r="L641" s="957">
        <f ca="1">IFERROR(__xludf.DUMMYFUNCTION("IMPORTRANGE(""https://docs.google.com/spreadsheets/d/1QqKyyYR6Q21VydFLVH3TRQUabQu_ym0Zz7PgGX0-kHA/edit?usp=sharing"",""แผน!HQ62"")"),0)</f>
        <v>0</v>
      </c>
      <c r="M641" s="957">
        <v>0</v>
      </c>
      <c r="N641" s="957">
        <v>0</v>
      </c>
      <c r="O641" s="957">
        <f t="shared" ca="1" si="269"/>
        <v>0</v>
      </c>
      <c r="P641" s="957">
        <f t="shared" si="270"/>
        <v>0</v>
      </c>
      <c r="Q641" s="1445"/>
      <c r="R641" s="1445"/>
      <c r="S641" s="1445"/>
      <c r="T641" s="1445"/>
      <c r="U641" s="1445"/>
      <c r="V641" s="1445"/>
      <c r="W641" s="1445"/>
      <c r="X641" s="1445"/>
      <c r="Y641" s="1445"/>
      <c r="Z641" s="1445"/>
    </row>
    <row r="642" spans="1:26" ht="19.5">
      <c r="A642" s="1448"/>
      <c r="B642" s="1449"/>
      <c r="C642" s="1418" t="s">
        <v>16</v>
      </c>
      <c r="D642" s="1510" t="s">
        <v>38</v>
      </c>
      <c r="E642" s="1452"/>
      <c r="F642" s="1452"/>
      <c r="G642" s="1453"/>
      <c r="H642" s="1091"/>
      <c r="I642" s="1078"/>
      <c r="J642" s="1078"/>
      <c r="K642" s="1079"/>
      <c r="L642" s="1079"/>
      <c r="M642" s="1079"/>
      <c r="N642" s="1079"/>
      <c r="O642" s="1079"/>
      <c r="P642" s="1079"/>
      <c r="Q642" s="1419"/>
      <c r="R642" s="1419"/>
      <c r="S642" s="1419"/>
      <c r="T642" s="1419"/>
      <c r="U642" s="1419"/>
      <c r="V642" s="1419"/>
      <c r="W642" s="1419"/>
      <c r="X642" s="1419"/>
      <c r="Y642" s="1419"/>
      <c r="Z642" s="1419"/>
    </row>
    <row r="643" spans="1:26" ht="18.75">
      <c r="A643" s="1567"/>
      <c r="B643" s="1417"/>
      <c r="C643" s="1418"/>
      <c r="D643" s="1101"/>
      <c r="E643" s="1168" t="s">
        <v>272</v>
      </c>
      <c r="F643" s="1101"/>
      <c r="G643" s="1091"/>
      <c r="H643" s="1097" t="s">
        <v>273</v>
      </c>
      <c r="I643" s="949">
        <f ca="1">IFERROR(__xludf.DUMMYFUNCTION("IMPORTRANGE(""https://docs.google.com/spreadsheets/d/1QqKyyYR6Q21VydFLVH3TRQUabQu_ym0Zz7PgGX0-kHA/edit?usp=sharing"",""แผน!HR62"")"),0)</f>
        <v>0</v>
      </c>
      <c r="J643" s="1098">
        <v>0</v>
      </c>
      <c r="K643" s="1079">
        <f t="shared" ref="K643:K652" ca="1" si="271">IF(I643&gt;0,J643*100/I643,0)</f>
        <v>0</v>
      </c>
      <c r="L643" s="1079"/>
      <c r="M643" s="1079"/>
      <c r="N643" s="950"/>
      <c r="O643" s="1079"/>
      <c r="P643" s="1079"/>
      <c r="Q643" s="1419"/>
      <c r="R643" s="1419"/>
      <c r="S643" s="1419"/>
      <c r="T643" s="1419"/>
      <c r="U643" s="1419"/>
      <c r="V643" s="1419"/>
      <c r="W643" s="1419"/>
      <c r="X643" s="1419"/>
      <c r="Y643" s="1419"/>
      <c r="Z643" s="1419"/>
    </row>
    <row r="644" spans="1:26" ht="18.75">
      <c r="A644" s="1567"/>
      <c r="B644" s="1417"/>
      <c r="C644" s="1418"/>
      <c r="D644" s="1101"/>
      <c r="E644" s="1168" t="s">
        <v>274</v>
      </c>
      <c r="F644" s="1101"/>
      <c r="G644" s="1091"/>
      <c r="H644" s="1097" t="s">
        <v>275</v>
      </c>
      <c r="I644" s="949">
        <f ca="1">IFERROR(__xludf.DUMMYFUNCTION("IMPORTRANGE(""https://docs.google.com/spreadsheets/d/1QqKyyYR6Q21VydFLVH3TRQUabQu_ym0Zz7PgGX0-kHA/edit?usp=sharing"",""แผน!HR62"")"),0)</f>
        <v>0</v>
      </c>
      <c r="J644" s="1098">
        <v>0</v>
      </c>
      <c r="K644" s="1079">
        <f t="shared" ca="1" si="271"/>
        <v>0</v>
      </c>
      <c r="L644" s="1079"/>
      <c r="M644" s="1079"/>
      <c r="N644" s="950"/>
      <c r="O644" s="1079"/>
      <c r="P644" s="1079"/>
      <c r="Q644" s="1419"/>
      <c r="R644" s="1419"/>
      <c r="S644" s="1419"/>
      <c r="T644" s="1419"/>
      <c r="U644" s="1419"/>
      <c r="V644" s="1419"/>
      <c r="W644" s="1419"/>
      <c r="X644" s="1419"/>
      <c r="Y644" s="1419"/>
      <c r="Z644" s="1419"/>
    </row>
    <row r="645" spans="1:26" ht="18.75">
      <c r="A645" s="1567"/>
      <c r="B645" s="1417"/>
      <c r="C645" s="1418"/>
      <c r="D645" s="1101"/>
      <c r="E645" s="1168" t="s">
        <v>276</v>
      </c>
      <c r="F645" s="1101"/>
      <c r="G645" s="1091"/>
      <c r="H645" s="1097" t="s">
        <v>34</v>
      </c>
      <c r="I645" s="949">
        <v>0</v>
      </c>
      <c r="J645" s="949">
        <f ca="1">IFERROR(__xludf.DUMMYFUNCTION("IMPORTRANGE(""https://docs.google.com/spreadsheets/d/1XWAQStnk-4SwqDmLtmXYiTMKHgktTP8We1SCoS47DrQ/edit?usp=sharing"",""จัดที่ดิน!AS62"")"),0)</f>
        <v>0</v>
      </c>
      <c r="K645" s="1079">
        <f t="shared" si="271"/>
        <v>0</v>
      </c>
      <c r="L645" s="1079"/>
      <c r="M645" s="1079"/>
      <c r="N645" s="950"/>
      <c r="O645" s="1079"/>
      <c r="P645" s="1079"/>
      <c r="Q645" s="1419"/>
      <c r="R645" s="1419"/>
      <c r="S645" s="1419"/>
      <c r="T645" s="1419"/>
      <c r="U645" s="1419"/>
      <c r="V645" s="1419"/>
      <c r="W645" s="1419"/>
      <c r="X645" s="1419"/>
      <c r="Y645" s="1419"/>
      <c r="Z645" s="1419"/>
    </row>
    <row r="646" spans="1:26" ht="18.75">
      <c r="A646" s="1567"/>
      <c r="B646" s="1417"/>
      <c r="C646" s="1418"/>
      <c r="D646" s="1101"/>
      <c r="E646" s="1101"/>
      <c r="F646" s="1101"/>
      <c r="G646" s="1091"/>
      <c r="H646" s="1097" t="s">
        <v>46</v>
      </c>
      <c r="I646" s="949">
        <v>0</v>
      </c>
      <c r="J646" s="949">
        <f ca="1">IFERROR(__xludf.DUMMYFUNCTION("IMPORTRANGE(""https://docs.google.com/spreadsheets/d/1XWAQStnk-4SwqDmLtmXYiTMKHgktTP8We1SCoS47DrQ/edit?usp=sharing"",""จัดที่ดิน!AT62"")"),0)</f>
        <v>0</v>
      </c>
      <c r="K646" s="950">
        <f t="shared" si="271"/>
        <v>0</v>
      </c>
      <c r="L646" s="1079"/>
      <c r="M646" s="1079"/>
      <c r="N646" s="950"/>
      <c r="O646" s="1079"/>
      <c r="P646" s="1079"/>
      <c r="Q646" s="1419"/>
      <c r="R646" s="1419"/>
      <c r="S646" s="1419"/>
      <c r="T646" s="1419"/>
      <c r="U646" s="1419"/>
      <c r="V646" s="1419"/>
      <c r="W646" s="1419"/>
      <c r="X646" s="1419"/>
      <c r="Y646" s="1419"/>
      <c r="Z646" s="1419"/>
    </row>
    <row r="647" spans="1:26" ht="18.75">
      <c r="A647" s="1567"/>
      <c r="B647" s="1417"/>
      <c r="C647" s="1418"/>
      <c r="D647" s="1101"/>
      <c r="E647" s="1168" t="s">
        <v>162</v>
      </c>
      <c r="F647" s="1101"/>
      <c r="G647" s="1091"/>
      <c r="H647" s="1097" t="s">
        <v>35</v>
      </c>
      <c r="I647" s="949">
        <f ca="1">IFERROR(__xludf.DUMMYFUNCTION("IMPORTRANGE(""https://docs.google.com/spreadsheets/d/1QqKyyYR6Q21VydFLVH3TRQUabQu_ym0Zz7PgGX0-kHA/edit?usp=sharing"",""แผน!HS62"")"),60)</f>
        <v>60</v>
      </c>
      <c r="J647" s="949">
        <f ca="1">IFERROR(__xludf.DUMMYFUNCTION("IMPORTRANGE(""https://docs.google.com/spreadsheets/d/1XWAQStnk-4SwqDmLtmXYiTMKHgktTP8We1SCoS47DrQ/edit?usp=sharing"",""จัดที่ดิน!AU62"")"),0)</f>
        <v>0</v>
      </c>
      <c r="K647" s="1079">
        <f t="shared" ca="1" si="271"/>
        <v>0</v>
      </c>
      <c r="L647" s="1079"/>
      <c r="M647" s="1079"/>
      <c r="N647" s="1079"/>
      <c r="O647" s="1079"/>
      <c r="P647" s="1079"/>
      <c r="Q647" s="1419"/>
      <c r="R647" s="1419"/>
      <c r="S647" s="1419"/>
      <c r="T647" s="1419"/>
      <c r="U647" s="1419"/>
      <c r="V647" s="1419"/>
      <c r="W647" s="1419"/>
      <c r="X647" s="1419"/>
      <c r="Y647" s="1419"/>
      <c r="Z647" s="1419"/>
    </row>
    <row r="648" spans="1:26" ht="18.75">
      <c r="A648" s="1567"/>
      <c r="B648" s="1417"/>
      <c r="C648" s="1418"/>
      <c r="D648" s="1101"/>
      <c r="E648" s="1101"/>
      <c r="F648" s="1101"/>
      <c r="G648" s="1091"/>
      <c r="H648" s="1097" t="s">
        <v>46</v>
      </c>
      <c r="I648" s="949">
        <v>0</v>
      </c>
      <c r="J648" s="949">
        <f ca="1">IFERROR(__xludf.DUMMYFUNCTION("IMPORTRANGE(""https://docs.google.com/spreadsheets/d/1XWAQStnk-4SwqDmLtmXYiTMKHgktTP8We1SCoS47DrQ/edit?usp=sharing"",""จัดที่ดิน!AV62"")"),0)</f>
        <v>0</v>
      </c>
      <c r="K648" s="950">
        <f t="shared" si="271"/>
        <v>0</v>
      </c>
      <c r="L648" s="1079"/>
      <c r="M648" s="1079"/>
      <c r="N648" s="1079"/>
      <c r="O648" s="1079"/>
      <c r="P648" s="1079"/>
      <c r="Q648" s="1419"/>
      <c r="R648" s="1419"/>
      <c r="S648" s="1419"/>
      <c r="T648" s="1419"/>
      <c r="U648" s="1419"/>
      <c r="V648" s="1419"/>
      <c r="W648" s="1419"/>
      <c r="X648" s="1419"/>
      <c r="Y648" s="1419"/>
      <c r="Z648" s="1419"/>
    </row>
    <row r="649" spans="1:26" ht="18.75">
      <c r="A649" s="1567"/>
      <c r="B649" s="1417"/>
      <c r="C649" s="1418"/>
      <c r="D649" s="1101"/>
      <c r="E649" s="1168" t="s">
        <v>277</v>
      </c>
      <c r="F649" s="1101"/>
      <c r="G649" s="1091"/>
      <c r="H649" s="1097" t="s">
        <v>35</v>
      </c>
      <c r="I649" s="949">
        <f ca="1">IFERROR(__xludf.DUMMYFUNCTION("IMPORTRANGE(""https://docs.google.com/spreadsheets/d/1QqKyyYR6Q21VydFLVH3TRQUabQu_ym0Zz7PgGX0-kHA/edit?usp=sharing"",""แผน!HS62"")"),60)</f>
        <v>60</v>
      </c>
      <c r="J649" s="949">
        <f ca="1">IFERROR(__xludf.DUMMYFUNCTION("IMPORTRANGE(""https://docs.google.com/spreadsheets/d/1XWAQStnk-4SwqDmLtmXYiTMKHgktTP8We1SCoS47DrQ/edit?usp=sharing"",""จัดที่ดิน!AW62"")"),0)</f>
        <v>0</v>
      </c>
      <c r="K649" s="1079">
        <f t="shared" ca="1" si="271"/>
        <v>0</v>
      </c>
      <c r="L649" s="1079"/>
      <c r="M649" s="1079"/>
      <c r="N649" s="1079"/>
      <c r="O649" s="1079"/>
      <c r="P649" s="1079"/>
      <c r="Q649" s="1419"/>
      <c r="R649" s="1419"/>
      <c r="S649" s="1419"/>
      <c r="T649" s="1419"/>
      <c r="U649" s="1419"/>
      <c r="V649" s="1419"/>
      <c r="W649" s="1419"/>
      <c r="X649" s="1419"/>
      <c r="Y649" s="1419"/>
      <c r="Z649" s="1419"/>
    </row>
    <row r="650" spans="1:26" ht="18.75">
      <c r="A650" s="1567"/>
      <c r="B650" s="1417"/>
      <c r="C650" s="1418"/>
      <c r="D650" s="1101"/>
      <c r="E650" s="1101"/>
      <c r="F650" s="1101"/>
      <c r="G650" s="1091"/>
      <c r="H650" s="1097" t="s">
        <v>46</v>
      </c>
      <c r="I650" s="949">
        <v>0</v>
      </c>
      <c r="J650" s="949">
        <f ca="1">IFERROR(__xludf.DUMMYFUNCTION("IMPORTRANGE(""https://docs.google.com/spreadsheets/d/1XWAQStnk-4SwqDmLtmXYiTMKHgktTP8We1SCoS47DrQ/edit?usp=sharing"",""จัดที่ดิน!AX62"")"),0)</f>
        <v>0</v>
      </c>
      <c r="K650" s="950">
        <f t="shared" si="271"/>
        <v>0</v>
      </c>
      <c r="L650" s="1079"/>
      <c r="M650" s="1079"/>
      <c r="N650" s="1079"/>
      <c r="O650" s="1079"/>
      <c r="P650" s="1079"/>
      <c r="Q650" s="1419"/>
      <c r="R650" s="1419"/>
      <c r="S650" s="1419"/>
      <c r="T650" s="1419"/>
      <c r="U650" s="1419"/>
      <c r="V650" s="1419"/>
      <c r="W650" s="1419"/>
      <c r="X650" s="1419"/>
      <c r="Y650" s="1419"/>
      <c r="Z650" s="1419"/>
    </row>
    <row r="651" spans="1:26" ht="18.75">
      <c r="A651" s="1567"/>
      <c r="B651" s="1417"/>
      <c r="C651" s="1418"/>
      <c r="D651" s="1101"/>
      <c r="E651" s="1168" t="s">
        <v>278</v>
      </c>
      <c r="F651" s="1101"/>
      <c r="G651" s="1091"/>
      <c r="H651" s="1097" t="s">
        <v>35</v>
      </c>
      <c r="I651" s="949">
        <f ca="1">IFERROR(__xludf.DUMMYFUNCTION("IMPORTRANGE(""https://docs.google.com/spreadsheets/d/1QqKyyYR6Q21VydFLVH3TRQUabQu_ym0Zz7PgGX0-kHA/edit?usp=sharing"",""แผน!HS62"")"),60)</f>
        <v>60</v>
      </c>
      <c r="J651" s="949">
        <f ca="1">IFERROR(__xludf.DUMMYFUNCTION("IMPORTRANGE(""https://docs.google.com/spreadsheets/d/1XWAQStnk-4SwqDmLtmXYiTMKHgktTP8We1SCoS47DrQ/edit?usp=sharing"",""จัดที่ดิน!AY62"")"),0)</f>
        <v>0</v>
      </c>
      <c r="K651" s="1079">
        <f t="shared" ca="1" si="271"/>
        <v>0</v>
      </c>
      <c r="L651" s="1079"/>
      <c r="M651" s="1079"/>
      <c r="N651" s="1079"/>
      <c r="O651" s="1079"/>
      <c r="P651" s="1079"/>
      <c r="Q651" s="1419"/>
      <c r="R651" s="1419"/>
      <c r="S651" s="1419"/>
      <c r="T651" s="1419"/>
      <c r="U651" s="1419"/>
      <c r="V651" s="1419"/>
      <c r="W651" s="1419"/>
      <c r="X651" s="1419"/>
      <c r="Y651" s="1419"/>
      <c r="Z651" s="1419"/>
    </row>
    <row r="652" spans="1:26" ht="18.75">
      <c r="A652" s="1568"/>
      <c r="B652" s="1569"/>
      <c r="C652" s="1570"/>
      <c r="D652" s="1276"/>
      <c r="E652" s="1276"/>
      <c r="F652" s="1276"/>
      <c r="G652" s="1558"/>
      <c r="H652" s="1348" t="s">
        <v>46</v>
      </c>
      <c r="I652" s="1244">
        <v>0</v>
      </c>
      <c r="J652" s="1244">
        <f ca="1">IFERROR(__xludf.DUMMYFUNCTION("IMPORTRANGE(""https://docs.google.com/spreadsheets/d/1XWAQStnk-4SwqDmLtmXYiTMKHgktTP8We1SCoS47DrQ/edit?usp=sharing"",""จัดที่ดิน!AZ62"")"),0)</f>
        <v>0</v>
      </c>
      <c r="K652" s="1349">
        <f t="shared" si="271"/>
        <v>0</v>
      </c>
      <c r="L652" s="1245"/>
      <c r="M652" s="1245"/>
      <c r="N652" s="1245"/>
      <c r="O652" s="1245"/>
      <c r="P652" s="1245"/>
      <c r="Q652" s="1419"/>
      <c r="R652" s="1419"/>
      <c r="S652" s="1419"/>
      <c r="T652" s="1419"/>
      <c r="U652" s="1419"/>
      <c r="V652" s="1419"/>
      <c r="W652" s="1419"/>
      <c r="X652" s="1419"/>
      <c r="Y652" s="1419"/>
      <c r="Z652" s="1419"/>
    </row>
    <row r="653" spans="1:26" ht="19.5" hidden="1">
      <c r="A653" s="1571">
        <v>8</v>
      </c>
      <c r="B653" s="1560" t="s">
        <v>279</v>
      </c>
      <c r="C653" s="1561"/>
      <c r="D653" s="1561"/>
      <c r="E653" s="1561"/>
      <c r="F653" s="1561"/>
      <c r="G653" s="1562"/>
      <c r="H653" s="1562"/>
      <c r="I653" s="1572"/>
      <c r="J653" s="1572"/>
      <c r="K653" s="1566"/>
      <c r="L653" s="1566"/>
      <c r="M653" s="1566"/>
      <c r="N653" s="1566"/>
      <c r="O653" s="1566"/>
      <c r="P653" s="1566"/>
      <c r="Q653" s="1419"/>
      <c r="R653" s="1419"/>
      <c r="S653" s="1419"/>
      <c r="T653" s="1419"/>
      <c r="U653" s="1419"/>
      <c r="V653" s="1419"/>
      <c r="W653" s="1419"/>
      <c r="X653" s="1419"/>
      <c r="Y653" s="1419"/>
      <c r="Z653" s="1419"/>
    </row>
    <row r="654" spans="1:26" ht="19.5" hidden="1">
      <c r="A654" s="1504"/>
      <c r="B654" s="1503" t="s">
        <v>280</v>
      </c>
      <c r="C654" s="1504"/>
      <c r="D654" s="1504"/>
      <c r="E654" s="1504"/>
      <c r="F654" s="1504"/>
      <c r="G654" s="1505"/>
      <c r="H654" s="1536" t="s">
        <v>46</v>
      </c>
      <c r="I654" s="1507">
        <f t="shared" ref="I654:J654" ca="1" si="272">I669</f>
        <v>0</v>
      </c>
      <c r="J654" s="1507">
        <f t="shared" si="272"/>
        <v>0</v>
      </c>
      <c r="K654" s="1508">
        <f ca="1">IF(I654&gt;0,J654*100/I654,0)</f>
        <v>0</v>
      </c>
      <c r="L654" s="1509"/>
      <c r="M654" s="1509"/>
      <c r="N654" s="1509"/>
      <c r="O654" s="1509"/>
      <c r="P654" s="1509"/>
      <c r="Q654" s="1419"/>
      <c r="R654" s="1419"/>
      <c r="S654" s="1419"/>
      <c r="T654" s="1419"/>
      <c r="U654" s="1419"/>
      <c r="V654" s="1419"/>
      <c r="W654" s="1419"/>
      <c r="X654" s="1419"/>
      <c r="Y654" s="1419"/>
      <c r="Z654" s="1419"/>
    </row>
    <row r="655" spans="1:26" ht="19.5" hidden="1">
      <c r="A655" s="1438"/>
      <c r="B655" s="1418"/>
      <c r="C655" s="1418" t="s">
        <v>16</v>
      </c>
      <c r="D655" s="1439" t="s">
        <v>17</v>
      </c>
      <c r="E655" s="987"/>
      <c r="F655" s="987"/>
      <c r="G655" s="1103"/>
      <c r="H655" s="1440" t="s">
        <v>12</v>
      </c>
      <c r="I655" s="949"/>
      <c r="J655" s="949"/>
      <c r="K655" s="950"/>
      <c r="L655" s="1108">
        <f t="shared" ref="L655:N655" ca="1" si="273">L656+L657</f>
        <v>0</v>
      </c>
      <c r="M655" s="1108">
        <f t="shared" si="273"/>
        <v>0</v>
      </c>
      <c r="N655" s="1108">
        <f t="shared" si="273"/>
        <v>0</v>
      </c>
      <c r="O655" s="1108">
        <f t="shared" ref="O655:O660" ca="1" si="274">IF(L655&gt;0,N655*100/L655,0)</f>
        <v>0</v>
      </c>
      <c r="P655" s="1108">
        <f t="shared" ref="P655:P660" si="275">IF(M655&gt;0,N655*100/M655,0)</f>
        <v>0</v>
      </c>
      <c r="Q655" s="1419"/>
      <c r="R655" s="1419"/>
      <c r="S655" s="1419"/>
      <c r="T655" s="1419"/>
      <c r="U655" s="1419"/>
      <c r="V655" s="1419"/>
      <c r="W655" s="1419"/>
      <c r="X655" s="1419"/>
      <c r="Y655" s="1419"/>
      <c r="Z655" s="1419"/>
    </row>
    <row r="656" spans="1:26" ht="18.75" hidden="1">
      <c r="A656" s="1441"/>
      <c r="B656" s="1442"/>
      <c r="C656" s="1442"/>
      <c r="D656" s="1443"/>
      <c r="E656" s="1442" t="s">
        <v>185</v>
      </c>
      <c r="F656" s="1442"/>
      <c r="G656" s="1444"/>
      <c r="H656" s="1081" t="s">
        <v>12</v>
      </c>
      <c r="I656" s="956"/>
      <c r="J656" s="956"/>
      <c r="K656" s="957"/>
      <c r="L656" s="957">
        <f t="shared" ref="L656:N657" si="276">L659+L666</f>
        <v>0</v>
      </c>
      <c r="M656" s="957">
        <f t="shared" si="276"/>
        <v>0</v>
      </c>
      <c r="N656" s="957">
        <f t="shared" si="276"/>
        <v>0</v>
      </c>
      <c r="O656" s="957">
        <f t="shared" si="274"/>
        <v>0</v>
      </c>
      <c r="P656" s="957">
        <f t="shared" si="275"/>
        <v>0</v>
      </c>
      <c r="Q656" s="1445"/>
      <c r="R656" s="1445"/>
      <c r="S656" s="1445"/>
      <c r="T656" s="1445"/>
      <c r="U656" s="1445"/>
      <c r="V656" s="1445"/>
      <c r="W656" s="1445"/>
      <c r="X656" s="1445"/>
      <c r="Y656" s="1445"/>
      <c r="Z656" s="1445"/>
    </row>
    <row r="657" spans="1:26" ht="18.75" hidden="1">
      <c r="A657" s="1441"/>
      <c r="B657" s="1446"/>
      <c r="C657" s="1442"/>
      <c r="D657" s="1443"/>
      <c r="E657" s="1442" t="s">
        <v>186</v>
      </c>
      <c r="F657" s="1442"/>
      <c r="G657" s="1444"/>
      <c r="H657" s="1081" t="s">
        <v>12</v>
      </c>
      <c r="I657" s="956"/>
      <c r="J657" s="956"/>
      <c r="K657" s="957"/>
      <c r="L657" s="957">
        <f t="shared" ca="1" si="276"/>
        <v>0</v>
      </c>
      <c r="M657" s="957">
        <f t="shared" si="276"/>
        <v>0</v>
      </c>
      <c r="N657" s="957">
        <f t="shared" si="276"/>
        <v>0</v>
      </c>
      <c r="O657" s="957">
        <f t="shared" ca="1" si="274"/>
        <v>0</v>
      </c>
      <c r="P657" s="957">
        <f t="shared" si="275"/>
        <v>0</v>
      </c>
      <c r="Q657" s="1445"/>
      <c r="R657" s="1445"/>
      <c r="S657" s="1445"/>
      <c r="T657" s="1445"/>
      <c r="U657" s="1445"/>
      <c r="V657" s="1445"/>
      <c r="W657" s="1445"/>
      <c r="X657" s="1445"/>
      <c r="Y657" s="1445"/>
      <c r="Z657" s="1445"/>
    </row>
    <row r="658" spans="1:26" ht="18.75" hidden="1">
      <c r="A658" s="1438"/>
      <c r="B658" s="1417"/>
      <c r="C658" s="1418"/>
      <c r="D658" s="1447" t="s">
        <v>20</v>
      </c>
      <c r="E658" s="1418"/>
      <c r="F658" s="1418"/>
      <c r="G658" s="1103"/>
      <c r="H658" s="1077" t="s">
        <v>12</v>
      </c>
      <c r="I658" s="1078"/>
      <c r="J658" s="1078"/>
      <c r="K658" s="1079"/>
      <c r="L658" s="950">
        <f t="shared" ref="L658:N658" ca="1" si="277">L659+L660</f>
        <v>0</v>
      </c>
      <c r="M658" s="950">
        <f t="shared" si="277"/>
        <v>0</v>
      </c>
      <c r="N658" s="950">
        <f t="shared" si="277"/>
        <v>0</v>
      </c>
      <c r="O658" s="950">
        <f t="shared" ca="1" si="274"/>
        <v>0</v>
      </c>
      <c r="P658" s="950">
        <f t="shared" si="275"/>
        <v>0</v>
      </c>
      <c r="Q658" s="1419"/>
      <c r="R658" s="1419"/>
      <c r="S658" s="1419"/>
      <c r="T658" s="1419"/>
      <c r="U658" s="1419"/>
      <c r="V658" s="1419"/>
      <c r="W658" s="1419"/>
      <c r="X658" s="1419"/>
      <c r="Y658" s="1419"/>
      <c r="Z658" s="1419"/>
    </row>
    <row r="659" spans="1:26" ht="18.75" hidden="1">
      <c r="A659" s="1441"/>
      <c r="B659" s="1446"/>
      <c r="C659" s="1442"/>
      <c r="D659" s="1443"/>
      <c r="E659" s="1442" t="s">
        <v>185</v>
      </c>
      <c r="F659" s="1442"/>
      <c r="G659" s="1444"/>
      <c r="H659" s="1081" t="s">
        <v>12</v>
      </c>
      <c r="I659" s="956"/>
      <c r="J659" s="956"/>
      <c r="K659" s="957"/>
      <c r="L659" s="957">
        <v>0</v>
      </c>
      <c r="M659" s="957">
        <v>0</v>
      </c>
      <c r="N659" s="957">
        <v>0</v>
      </c>
      <c r="O659" s="957">
        <f t="shared" si="274"/>
        <v>0</v>
      </c>
      <c r="P659" s="957">
        <f t="shared" si="275"/>
        <v>0</v>
      </c>
      <c r="Q659" s="1445"/>
      <c r="R659" s="1445"/>
      <c r="S659" s="1445"/>
      <c r="T659" s="1445"/>
      <c r="U659" s="1445"/>
      <c r="V659" s="1445"/>
      <c r="W659" s="1445"/>
      <c r="X659" s="1445"/>
      <c r="Y659" s="1445"/>
      <c r="Z659" s="1445"/>
    </row>
    <row r="660" spans="1:26" ht="18.75" hidden="1">
      <c r="A660" s="1441"/>
      <c r="B660" s="1446"/>
      <c r="C660" s="1442"/>
      <c r="D660" s="1443"/>
      <c r="E660" s="1442" t="s">
        <v>186</v>
      </c>
      <c r="F660" s="1442"/>
      <c r="G660" s="1444"/>
      <c r="H660" s="1081" t="s">
        <v>12</v>
      </c>
      <c r="I660" s="956"/>
      <c r="J660" s="956"/>
      <c r="K660" s="957"/>
      <c r="L660" s="957">
        <f ca="1">IFERROR(__xludf.DUMMYFUNCTION("IMPORTRANGE(""https://docs.google.com/spreadsheets/d/1QqKyyYR6Q21VydFLVH3TRQUabQu_ym0Zz7PgGX0-kHA/edit?usp=sharing"",""แผน!HV62"")"),0)</f>
        <v>0</v>
      </c>
      <c r="M660" s="957">
        <v>0</v>
      </c>
      <c r="N660" s="957">
        <f>N661+N662+N663+N664</f>
        <v>0</v>
      </c>
      <c r="O660" s="957">
        <f t="shared" ca="1" si="274"/>
        <v>0</v>
      </c>
      <c r="P660" s="957">
        <f t="shared" si="275"/>
        <v>0</v>
      </c>
      <c r="Q660" s="1445"/>
      <c r="R660" s="1445"/>
      <c r="S660" s="1445"/>
      <c r="T660" s="1445"/>
      <c r="U660" s="1445"/>
      <c r="V660" s="1445"/>
      <c r="W660" s="1445"/>
      <c r="X660" s="1445"/>
      <c r="Y660" s="1445"/>
      <c r="Z660" s="1445"/>
    </row>
    <row r="661" spans="1:26" ht="18.75" hidden="1">
      <c r="A661" s="1416"/>
      <c r="B661" s="1417"/>
      <c r="C661" s="1418"/>
      <c r="D661" s="1418"/>
      <c r="E661" s="1418"/>
      <c r="F661" s="1418" t="s">
        <v>187</v>
      </c>
      <c r="G661" s="1103"/>
      <c r="H661" s="1077" t="s">
        <v>12</v>
      </c>
      <c r="I661" s="949"/>
      <c r="J661" s="949"/>
      <c r="K661" s="950"/>
      <c r="L661" s="950"/>
      <c r="M661" s="950"/>
      <c r="N661" s="1186">
        <v>0</v>
      </c>
      <c r="O661" s="950"/>
      <c r="P661" s="950"/>
      <c r="Q661" s="1419"/>
      <c r="R661" s="1419"/>
      <c r="S661" s="1419"/>
      <c r="T661" s="1419"/>
      <c r="U661" s="1419"/>
      <c r="V661" s="1419"/>
      <c r="W661" s="1419"/>
      <c r="X661" s="1419"/>
      <c r="Y661" s="1419"/>
      <c r="Z661" s="1419"/>
    </row>
    <row r="662" spans="1:26" ht="18.75" hidden="1">
      <c r="A662" s="1416"/>
      <c r="B662" s="1417"/>
      <c r="C662" s="1418"/>
      <c r="D662" s="1418"/>
      <c r="E662" s="1418"/>
      <c r="F662" s="1418" t="s">
        <v>188</v>
      </c>
      <c r="G662" s="1103"/>
      <c r="H662" s="1077" t="s">
        <v>12</v>
      </c>
      <c r="I662" s="949"/>
      <c r="J662" s="949"/>
      <c r="K662" s="950"/>
      <c r="L662" s="950"/>
      <c r="M662" s="950"/>
      <c r="N662" s="1186">
        <v>0</v>
      </c>
      <c r="O662" s="950"/>
      <c r="P662" s="950"/>
      <c r="Q662" s="1419"/>
      <c r="R662" s="1419"/>
      <c r="S662" s="1419"/>
      <c r="T662" s="1419"/>
      <c r="U662" s="1419"/>
      <c r="V662" s="1419"/>
      <c r="W662" s="1419"/>
      <c r="X662" s="1419"/>
      <c r="Y662" s="1419"/>
      <c r="Z662" s="1419"/>
    </row>
    <row r="663" spans="1:26" ht="18.75" hidden="1">
      <c r="A663" s="1416"/>
      <c r="B663" s="1417"/>
      <c r="C663" s="1417"/>
      <c r="D663" s="1418"/>
      <c r="E663" s="1418"/>
      <c r="F663" s="1418" t="s">
        <v>189</v>
      </c>
      <c r="G663" s="1103"/>
      <c r="H663" s="1077" t="s">
        <v>12</v>
      </c>
      <c r="I663" s="949"/>
      <c r="J663" s="949"/>
      <c r="K663" s="950"/>
      <c r="L663" s="950"/>
      <c r="M663" s="950"/>
      <c r="N663" s="1186">
        <v>0</v>
      </c>
      <c r="O663" s="950"/>
      <c r="P663" s="950"/>
      <c r="Q663" s="1419"/>
      <c r="R663" s="1419"/>
      <c r="S663" s="1419"/>
      <c r="T663" s="1419"/>
      <c r="U663" s="1419"/>
      <c r="V663" s="1419"/>
      <c r="W663" s="1419"/>
      <c r="X663" s="1419"/>
      <c r="Y663" s="1419"/>
      <c r="Z663" s="1419"/>
    </row>
    <row r="664" spans="1:26" ht="18.75" hidden="1">
      <c r="A664" s="1416"/>
      <c r="B664" s="1417"/>
      <c r="C664" s="1417"/>
      <c r="D664" s="1417"/>
      <c r="E664" s="1418"/>
      <c r="F664" s="1418" t="s">
        <v>190</v>
      </c>
      <c r="G664" s="1103"/>
      <c r="H664" s="1077" t="s">
        <v>12</v>
      </c>
      <c r="I664" s="949"/>
      <c r="J664" s="949"/>
      <c r="K664" s="950"/>
      <c r="L664" s="950"/>
      <c r="M664" s="950"/>
      <c r="N664" s="1186">
        <v>0</v>
      </c>
      <c r="O664" s="950"/>
      <c r="P664" s="950"/>
      <c r="Q664" s="1419"/>
      <c r="R664" s="1419"/>
      <c r="S664" s="1419"/>
      <c r="T664" s="1419"/>
      <c r="U664" s="1419"/>
      <c r="V664" s="1419"/>
      <c r="W664" s="1419"/>
      <c r="X664" s="1419"/>
      <c r="Y664" s="1419"/>
      <c r="Z664" s="1419"/>
    </row>
    <row r="665" spans="1:26" ht="18.75" hidden="1">
      <c r="A665" s="1438"/>
      <c r="B665" s="1417"/>
      <c r="C665" s="1417"/>
      <c r="D665" s="1447" t="s">
        <v>21</v>
      </c>
      <c r="E665" s="1418"/>
      <c r="F665" s="1418"/>
      <c r="G665" s="1103"/>
      <c r="H665" s="1084" t="s">
        <v>12</v>
      </c>
      <c r="I665" s="1078"/>
      <c r="J665" s="1078"/>
      <c r="K665" s="1079"/>
      <c r="L665" s="950">
        <f t="shared" ref="L665:N665" si="278">L666+L667</f>
        <v>0</v>
      </c>
      <c r="M665" s="950">
        <f t="shared" si="278"/>
        <v>0</v>
      </c>
      <c r="N665" s="950">
        <f t="shared" si="278"/>
        <v>0</v>
      </c>
      <c r="O665" s="950">
        <f t="shared" ref="O665:O667" si="279">IF(L665&gt;0,N665*100/L665,0)</f>
        <v>0</v>
      </c>
      <c r="P665" s="950">
        <f t="shared" ref="P665:P667" si="280">IF(M665&gt;0,N665*100/M665,0)</f>
        <v>0</v>
      </c>
      <c r="Q665" s="1419"/>
      <c r="R665" s="1419"/>
      <c r="S665" s="1419"/>
      <c r="T665" s="1419"/>
      <c r="U665" s="1419"/>
      <c r="V665" s="1419"/>
      <c r="W665" s="1419"/>
      <c r="X665" s="1419"/>
      <c r="Y665" s="1419"/>
      <c r="Z665" s="1419"/>
    </row>
    <row r="666" spans="1:26" ht="18.75" hidden="1">
      <c r="A666" s="1441"/>
      <c r="B666" s="1446"/>
      <c r="C666" s="1446"/>
      <c r="D666" s="1446"/>
      <c r="E666" s="1442" t="s">
        <v>18</v>
      </c>
      <c r="F666" s="1442"/>
      <c r="G666" s="1444"/>
      <c r="H666" s="1081" t="s">
        <v>12</v>
      </c>
      <c r="I666" s="1082"/>
      <c r="J666" s="1082"/>
      <c r="K666" s="1083"/>
      <c r="L666" s="957">
        <v>0</v>
      </c>
      <c r="M666" s="957">
        <v>0</v>
      </c>
      <c r="N666" s="957">
        <v>0</v>
      </c>
      <c r="O666" s="957">
        <f t="shared" si="279"/>
        <v>0</v>
      </c>
      <c r="P666" s="957">
        <f t="shared" si="280"/>
        <v>0</v>
      </c>
      <c r="Q666" s="1445"/>
      <c r="R666" s="1445"/>
      <c r="S666" s="1445"/>
      <c r="T666" s="1445"/>
      <c r="U666" s="1445"/>
      <c r="V666" s="1445"/>
      <c r="W666" s="1445"/>
      <c r="X666" s="1445"/>
      <c r="Y666" s="1445"/>
      <c r="Z666" s="1445"/>
    </row>
    <row r="667" spans="1:26" ht="18.75" hidden="1">
      <c r="A667" s="1441"/>
      <c r="B667" s="1446"/>
      <c r="C667" s="1446"/>
      <c r="D667" s="1446"/>
      <c r="E667" s="1442" t="s">
        <v>19</v>
      </c>
      <c r="F667" s="1442"/>
      <c r="G667" s="1444"/>
      <c r="H667" s="1085" t="s">
        <v>12</v>
      </c>
      <c r="I667" s="1082"/>
      <c r="J667" s="1082"/>
      <c r="K667" s="1083"/>
      <c r="L667" s="957">
        <v>0</v>
      </c>
      <c r="M667" s="957">
        <v>0</v>
      </c>
      <c r="N667" s="957">
        <v>0</v>
      </c>
      <c r="O667" s="957">
        <f t="shared" si="279"/>
        <v>0</v>
      </c>
      <c r="P667" s="957">
        <f t="shared" si="280"/>
        <v>0</v>
      </c>
      <c r="Q667" s="1445"/>
      <c r="R667" s="1445"/>
      <c r="S667" s="1445"/>
      <c r="T667" s="1445"/>
      <c r="U667" s="1445"/>
      <c r="V667" s="1445"/>
      <c r="W667" s="1445"/>
      <c r="X667" s="1445"/>
      <c r="Y667" s="1445"/>
      <c r="Z667" s="1445"/>
    </row>
    <row r="668" spans="1:26" ht="19.5" hidden="1">
      <c r="A668" s="1448"/>
      <c r="B668" s="1449"/>
      <c r="C668" s="1417" t="s">
        <v>16</v>
      </c>
      <c r="D668" s="1450" t="s">
        <v>38</v>
      </c>
      <c r="E668" s="1452"/>
      <c r="F668" s="1452"/>
      <c r="G668" s="1453"/>
      <c r="H668" s="1091"/>
      <c r="I668" s="1078"/>
      <c r="J668" s="1078"/>
      <c r="K668" s="1079"/>
      <c r="L668" s="1079"/>
      <c r="M668" s="1079"/>
      <c r="N668" s="1079"/>
      <c r="O668" s="1079"/>
      <c r="P668" s="1079"/>
      <c r="Q668" s="1419"/>
      <c r="R668" s="1419"/>
      <c r="S668" s="1419"/>
      <c r="T668" s="1419"/>
      <c r="U668" s="1419"/>
      <c r="V668" s="1419"/>
      <c r="W668" s="1419"/>
      <c r="X668" s="1419"/>
      <c r="Y668" s="1419"/>
      <c r="Z668" s="1419"/>
    </row>
    <row r="669" spans="1:26" ht="19.5" hidden="1">
      <c r="A669" s="1448"/>
      <c r="B669" s="1449"/>
      <c r="C669" s="1449"/>
      <c r="D669" s="1449" t="s">
        <v>281</v>
      </c>
      <c r="E669" s="1101"/>
      <c r="F669" s="1101"/>
      <c r="G669" s="1091"/>
      <c r="H669" s="1105" t="s">
        <v>46</v>
      </c>
      <c r="I669" s="1107">
        <f ca="1">IFERROR(__xludf.DUMMYFUNCTION("IMPORTRANGE(""https://docs.google.com/spreadsheets/d/1QqKyyYR6Q21VydFLVH3TRQUabQu_ym0Zz7PgGX0-kHA/edit?usp=sharing"",""แผน!IA62"")"),0)</f>
        <v>0</v>
      </c>
      <c r="J669" s="1107">
        <f>J675</f>
        <v>0</v>
      </c>
      <c r="K669" s="1108">
        <f ca="1">IF(I669&gt;0,J669*100/I669,0)</f>
        <v>0</v>
      </c>
      <c r="L669" s="1079"/>
      <c r="M669" s="1079"/>
      <c r="N669" s="1079"/>
      <c r="O669" s="1079"/>
      <c r="P669" s="1079"/>
      <c r="Q669" s="1419"/>
      <c r="R669" s="1419"/>
      <c r="S669" s="1419"/>
      <c r="T669" s="1419"/>
      <c r="U669" s="1419"/>
      <c r="V669" s="1419"/>
      <c r="W669" s="1419"/>
      <c r="X669" s="1419"/>
      <c r="Y669" s="1419"/>
      <c r="Z669" s="1419"/>
    </row>
    <row r="670" spans="1:26" ht="18.75" hidden="1">
      <c r="A670" s="1448"/>
      <c r="B670" s="1449"/>
      <c r="C670" s="1449"/>
      <c r="D670" s="1449"/>
      <c r="E670" s="1101" t="s">
        <v>282</v>
      </c>
      <c r="F670" s="1101"/>
      <c r="G670" s="1091"/>
      <c r="H670" s="1097" t="s">
        <v>66</v>
      </c>
      <c r="I670" s="949">
        <f ca="1">IFERROR(__xludf.DUMMYFUNCTION("IMPORTRANGE(""https://docs.google.com/spreadsheets/d/1QqKyyYR6Q21VydFLVH3TRQUabQu_ym0Zz7PgGX0-kHA/edit?usp=sharing"",""แผน!HZ62"")"),0)</f>
        <v>0</v>
      </c>
      <c r="J670" s="1098">
        <v>0</v>
      </c>
      <c r="K670" s="950">
        <f ca="1">IF(I670&gt;0,(J670*100)/I670,0)</f>
        <v>0</v>
      </c>
      <c r="L670" s="1079"/>
      <c r="M670" s="1079"/>
      <c r="N670" s="1079"/>
      <c r="O670" s="1079"/>
      <c r="P670" s="1079"/>
      <c r="Q670" s="1419"/>
      <c r="R670" s="1419"/>
      <c r="S670" s="1419"/>
      <c r="T670" s="1419"/>
      <c r="U670" s="1419"/>
      <c r="V670" s="1419"/>
      <c r="W670" s="1419"/>
      <c r="X670" s="1419"/>
      <c r="Y670" s="1419"/>
      <c r="Z670" s="1419"/>
    </row>
    <row r="671" spans="1:26" ht="18.75" hidden="1">
      <c r="A671" s="1448"/>
      <c r="B671" s="1449"/>
      <c r="C671" s="1449"/>
      <c r="D671" s="1449"/>
      <c r="E671" s="1101" t="s">
        <v>283</v>
      </c>
      <c r="F671" s="1101"/>
      <c r="G671" s="1091"/>
      <c r="H671" s="1097" t="s">
        <v>66</v>
      </c>
      <c r="I671" s="949">
        <f ca="1">IFERROR(__xludf.DUMMYFUNCTION("IMPORTRANGE(""https://docs.google.com/spreadsheets/d/1QqKyyYR6Q21VydFLVH3TRQUabQu_ym0Zz7PgGX0-kHA/edit?usp=sharing"",""แผน!HZ62"")"),0)</f>
        <v>0</v>
      </c>
      <c r="J671" s="1098">
        <v>0</v>
      </c>
      <c r="K671" s="950">
        <f ca="1">IF(I$671&gt;0,J671*100/I$671,0)</f>
        <v>0</v>
      </c>
      <c r="L671" s="1079"/>
      <c r="M671" s="1079"/>
      <c r="N671" s="1079"/>
      <c r="O671" s="1079"/>
      <c r="P671" s="1079"/>
      <c r="Q671" s="1419"/>
      <c r="R671" s="1419"/>
      <c r="S671" s="1419"/>
      <c r="T671" s="1419"/>
      <c r="U671" s="1419"/>
      <c r="V671" s="1419"/>
      <c r="W671" s="1419"/>
      <c r="X671" s="1419"/>
      <c r="Y671" s="1419"/>
      <c r="Z671" s="1419"/>
    </row>
    <row r="672" spans="1:26" ht="18.75" hidden="1">
      <c r="A672" s="1448"/>
      <c r="B672" s="1449"/>
      <c r="C672" s="1449"/>
      <c r="D672" s="1449"/>
      <c r="E672" s="1101" t="s">
        <v>284</v>
      </c>
      <c r="F672" s="1101"/>
      <c r="G672" s="1091"/>
      <c r="H672" s="1097" t="s">
        <v>46</v>
      </c>
      <c r="I672" s="949"/>
      <c r="J672" s="1098">
        <v>0</v>
      </c>
      <c r="K672" s="950">
        <f t="shared" ref="K672:K675" ca="1" si="281">IF(I$669&gt;0,J672*100/I$669,0)</f>
        <v>0</v>
      </c>
      <c r="L672" s="1079"/>
      <c r="M672" s="1079"/>
      <c r="N672" s="1079"/>
      <c r="O672" s="1079"/>
      <c r="P672" s="1079"/>
      <c r="Q672" s="1419"/>
      <c r="R672" s="1419"/>
      <c r="S672" s="1419"/>
      <c r="T672" s="1419"/>
      <c r="U672" s="1419"/>
      <c r="V672" s="1419"/>
      <c r="W672" s="1419"/>
      <c r="X672" s="1419"/>
      <c r="Y672" s="1419"/>
      <c r="Z672" s="1419"/>
    </row>
    <row r="673" spans="1:26" ht="18.75" hidden="1">
      <c r="A673" s="1448"/>
      <c r="B673" s="1449"/>
      <c r="C673" s="1449"/>
      <c r="D673" s="1449"/>
      <c r="E673" s="1101" t="s">
        <v>285</v>
      </c>
      <c r="F673" s="1101"/>
      <c r="G673" s="1091"/>
      <c r="H673" s="1097" t="s">
        <v>46</v>
      </c>
      <c r="I673" s="949"/>
      <c r="J673" s="1098">
        <v>0</v>
      </c>
      <c r="K673" s="950">
        <f t="shared" ca="1" si="281"/>
        <v>0</v>
      </c>
      <c r="L673" s="1079"/>
      <c r="M673" s="1079"/>
      <c r="N673" s="1079"/>
      <c r="O673" s="1079"/>
      <c r="P673" s="1079"/>
      <c r="Q673" s="1419"/>
      <c r="R673" s="1419"/>
      <c r="S673" s="1419"/>
      <c r="T673" s="1419"/>
      <c r="U673" s="1419"/>
      <c r="V673" s="1419"/>
      <c r="W673" s="1419"/>
      <c r="X673" s="1419"/>
      <c r="Y673" s="1419"/>
      <c r="Z673" s="1419"/>
    </row>
    <row r="674" spans="1:26" ht="18.75" hidden="1">
      <c r="A674" s="1448"/>
      <c r="B674" s="1449"/>
      <c r="C674" s="1449"/>
      <c r="D674" s="1449"/>
      <c r="E674" s="1101" t="s">
        <v>286</v>
      </c>
      <c r="F674" s="1101"/>
      <c r="G674" s="1091"/>
      <c r="H674" s="1097" t="s">
        <v>46</v>
      </c>
      <c r="I674" s="949"/>
      <c r="J674" s="1098">
        <v>0</v>
      </c>
      <c r="K674" s="950">
        <f t="shared" ca="1" si="281"/>
        <v>0</v>
      </c>
      <c r="L674" s="1079"/>
      <c r="M674" s="1079"/>
      <c r="N674" s="1079"/>
      <c r="O674" s="1079"/>
      <c r="P674" s="1079"/>
      <c r="Q674" s="1419"/>
      <c r="R674" s="1419"/>
      <c r="S674" s="1419"/>
      <c r="T674" s="1419"/>
      <c r="U674" s="1419"/>
      <c r="V674" s="1419"/>
      <c r="W674" s="1419"/>
      <c r="X674" s="1419"/>
      <c r="Y674" s="1419"/>
      <c r="Z674" s="1419"/>
    </row>
    <row r="675" spans="1:26" ht="19.5" hidden="1">
      <c r="A675" s="1448"/>
      <c r="B675" s="1449"/>
      <c r="C675" s="1449"/>
      <c r="D675" s="1449"/>
      <c r="E675" s="1101" t="s">
        <v>287</v>
      </c>
      <c r="F675" s="1101"/>
      <c r="G675" s="1091"/>
      <c r="H675" s="1097" t="s">
        <v>46</v>
      </c>
      <c r="I675" s="949"/>
      <c r="J675" s="1107">
        <f>J676+J677</f>
        <v>0</v>
      </c>
      <c r="K675" s="1108">
        <f t="shared" ca="1" si="281"/>
        <v>0</v>
      </c>
      <c r="L675" s="1079"/>
      <c r="M675" s="1079"/>
      <c r="N675" s="1079"/>
      <c r="O675" s="1079"/>
      <c r="P675" s="1079"/>
      <c r="Q675" s="1419"/>
      <c r="R675" s="1419"/>
      <c r="S675" s="1419"/>
      <c r="T675" s="1419"/>
      <c r="U675" s="1419"/>
      <c r="V675" s="1419"/>
      <c r="W675" s="1419"/>
      <c r="X675" s="1419"/>
      <c r="Y675" s="1419"/>
      <c r="Z675" s="1419"/>
    </row>
    <row r="676" spans="1:26" ht="18.75" hidden="1">
      <c r="A676" s="1448"/>
      <c r="B676" s="1449"/>
      <c r="C676" s="1449"/>
      <c r="D676" s="1449"/>
      <c r="E676" s="1101"/>
      <c r="F676" s="1101" t="s">
        <v>288</v>
      </c>
      <c r="G676" s="1091"/>
      <c r="H676" s="1097" t="s">
        <v>46</v>
      </c>
      <c r="I676" s="949"/>
      <c r="J676" s="1098">
        <v>0</v>
      </c>
      <c r="K676" s="950"/>
      <c r="L676" s="1079"/>
      <c r="M676" s="1079"/>
      <c r="N676" s="1079"/>
      <c r="O676" s="1079"/>
      <c r="P676" s="1079"/>
      <c r="Q676" s="1419"/>
      <c r="R676" s="1419"/>
      <c r="S676" s="1419"/>
      <c r="T676" s="1419"/>
      <c r="U676" s="1419"/>
      <c r="V676" s="1419"/>
      <c r="W676" s="1419"/>
      <c r="X676" s="1419"/>
      <c r="Y676" s="1419"/>
      <c r="Z676" s="1419"/>
    </row>
    <row r="677" spans="1:26" ht="18.75" hidden="1">
      <c r="A677" s="1448"/>
      <c r="B677" s="1449"/>
      <c r="C677" s="1449"/>
      <c r="D677" s="1449"/>
      <c r="E677" s="1101"/>
      <c r="F677" s="1101" t="s">
        <v>289</v>
      </c>
      <c r="G677" s="1091"/>
      <c r="H677" s="1097" t="s">
        <v>46</v>
      </c>
      <c r="I677" s="949"/>
      <c r="J677" s="1098">
        <v>0</v>
      </c>
      <c r="K677" s="950"/>
      <c r="L677" s="1079"/>
      <c r="M677" s="1079"/>
      <c r="N677" s="1079"/>
      <c r="O677" s="1079"/>
      <c r="P677" s="1079"/>
      <c r="Q677" s="1419"/>
      <c r="R677" s="1419"/>
      <c r="S677" s="1419"/>
      <c r="T677" s="1419"/>
      <c r="U677" s="1419"/>
      <c r="V677" s="1419"/>
      <c r="W677" s="1419"/>
      <c r="X677" s="1419"/>
      <c r="Y677" s="1419"/>
      <c r="Z677" s="1419"/>
    </row>
    <row r="678" spans="1:26" ht="19.5" hidden="1">
      <c r="A678" s="1448"/>
      <c r="B678" s="1449"/>
      <c r="C678" s="1449"/>
      <c r="D678" s="1449" t="s">
        <v>290</v>
      </c>
      <c r="E678" s="1101"/>
      <c r="F678" s="1101"/>
      <c r="G678" s="1091"/>
      <c r="H678" s="1097" t="s">
        <v>46</v>
      </c>
      <c r="I678" s="1107">
        <f ca="1">IFERROR(__xludf.DUMMYFUNCTION("IMPORTRANGE(""https://docs.google.com/spreadsheets/d/1QqKyyYR6Q21VydFLVH3TRQUabQu_ym0Zz7PgGX0-kHA/edit?usp=sharing"",""แผน!IB62"")"),0)</f>
        <v>0</v>
      </c>
      <c r="J678" s="1107">
        <f>J679</f>
        <v>0</v>
      </c>
      <c r="K678" s="1108">
        <f ca="1">IF(I678&gt;0,J678*100/I678,0)</f>
        <v>0</v>
      </c>
      <c r="L678" s="1079"/>
      <c r="M678" s="1079"/>
      <c r="N678" s="1079"/>
      <c r="O678" s="1079"/>
      <c r="P678" s="1079"/>
      <c r="Q678" s="1419"/>
      <c r="R678" s="1419"/>
      <c r="S678" s="1419"/>
      <c r="T678" s="1419"/>
      <c r="U678" s="1419"/>
      <c r="V678" s="1419"/>
      <c r="W678" s="1419"/>
      <c r="X678" s="1419"/>
      <c r="Y678" s="1419"/>
      <c r="Z678" s="1419"/>
    </row>
    <row r="679" spans="1:26" ht="18.75" hidden="1">
      <c r="A679" s="1448"/>
      <c r="B679" s="1449"/>
      <c r="C679" s="1449"/>
      <c r="D679" s="1449"/>
      <c r="E679" s="1101" t="s">
        <v>291</v>
      </c>
      <c r="F679" s="1101"/>
      <c r="G679" s="1091"/>
      <c r="H679" s="1097" t="s">
        <v>46</v>
      </c>
      <c r="I679" s="949"/>
      <c r="J679" s="949">
        <f>J680+J681</f>
        <v>0</v>
      </c>
      <c r="K679" s="950"/>
      <c r="L679" s="1079"/>
      <c r="M679" s="1079"/>
      <c r="N679" s="1079"/>
      <c r="O679" s="1079"/>
      <c r="P679" s="1079"/>
      <c r="Q679" s="1419"/>
      <c r="R679" s="1419"/>
      <c r="S679" s="1419"/>
      <c r="T679" s="1419"/>
      <c r="U679" s="1419"/>
      <c r="V679" s="1419"/>
      <c r="W679" s="1419"/>
      <c r="X679" s="1419"/>
      <c r="Y679" s="1419"/>
      <c r="Z679" s="1419"/>
    </row>
    <row r="680" spans="1:26" ht="18.75" hidden="1">
      <c r="A680" s="1448"/>
      <c r="B680" s="1449"/>
      <c r="C680" s="1449"/>
      <c r="D680" s="1449"/>
      <c r="E680" s="1101"/>
      <c r="F680" s="1101" t="s">
        <v>288</v>
      </c>
      <c r="G680" s="1091"/>
      <c r="H680" s="1097" t="s">
        <v>46</v>
      </c>
      <c r="I680" s="949"/>
      <c r="J680" s="1098">
        <v>0</v>
      </c>
      <c r="K680" s="950"/>
      <c r="L680" s="1079"/>
      <c r="M680" s="1079"/>
      <c r="N680" s="1079"/>
      <c r="O680" s="1079"/>
      <c r="P680" s="1079"/>
      <c r="Q680" s="1419"/>
      <c r="R680" s="1419"/>
      <c r="S680" s="1419"/>
      <c r="T680" s="1419"/>
      <c r="U680" s="1419"/>
      <c r="V680" s="1419"/>
      <c r="W680" s="1419"/>
      <c r="X680" s="1419"/>
      <c r="Y680" s="1419"/>
      <c r="Z680" s="1419"/>
    </row>
    <row r="681" spans="1:26" ht="18.75" hidden="1">
      <c r="A681" s="1448"/>
      <c r="B681" s="1449"/>
      <c r="C681" s="1449"/>
      <c r="D681" s="1449"/>
      <c r="E681" s="1101"/>
      <c r="F681" s="1101" t="s">
        <v>289</v>
      </c>
      <c r="G681" s="1091"/>
      <c r="H681" s="1097" t="s">
        <v>46</v>
      </c>
      <c r="I681" s="949"/>
      <c r="J681" s="1098">
        <v>0</v>
      </c>
      <c r="K681" s="950"/>
      <c r="L681" s="1079"/>
      <c r="M681" s="1079"/>
      <c r="N681" s="1079"/>
      <c r="O681" s="1079"/>
      <c r="P681" s="1079"/>
      <c r="Q681" s="1419"/>
      <c r="R681" s="1419"/>
      <c r="S681" s="1419"/>
      <c r="T681" s="1419"/>
      <c r="U681" s="1419"/>
      <c r="V681" s="1419"/>
      <c r="W681" s="1419"/>
      <c r="X681" s="1419"/>
      <c r="Y681" s="1419"/>
      <c r="Z681" s="1419"/>
    </row>
    <row r="682" spans="1:26" ht="18.75" hidden="1">
      <c r="A682" s="1448"/>
      <c r="B682" s="1449"/>
      <c r="C682" s="1449"/>
      <c r="D682" s="1449"/>
      <c r="E682" s="1101" t="s">
        <v>292</v>
      </c>
      <c r="F682" s="1101"/>
      <c r="G682" s="1091"/>
      <c r="H682" s="1097" t="s">
        <v>46</v>
      </c>
      <c r="I682" s="949"/>
      <c r="J682" s="1098">
        <v>0</v>
      </c>
      <c r="K682" s="950"/>
      <c r="L682" s="1079"/>
      <c r="M682" s="1079"/>
      <c r="N682" s="1079"/>
      <c r="O682" s="1079"/>
      <c r="P682" s="1079"/>
      <c r="Q682" s="1419"/>
      <c r="R682" s="1419"/>
      <c r="S682" s="1419"/>
      <c r="T682" s="1419"/>
      <c r="U682" s="1419"/>
      <c r="V682" s="1419"/>
      <c r="W682" s="1419"/>
      <c r="X682" s="1419"/>
      <c r="Y682" s="1419"/>
      <c r="Z682" s="1419"/>
    </row>
    <row r="683" spans="1:26" ht="18.75" hidden="1">
      <c r="A683" s="1448"/>
      <c r="B683" s="1449"/>
      <c r="C683" s="1449"/>
      <c r="D683" s="1449"/>
      <c r="E683" s="1101"/>
      <c r="F683" s="1101" t="s">
        <v>293</v>
      </c>
      <c r="G683" s="1091"/>
      <c r="H683" s="1097" t="s">
        <v>46</v>
      </c>
      <c r="I683" s="949"/>
      <c r="J683" s="1098">
        <v>0</v>
      </c>
      <c r="K683" s="950"/>
      <c r="L683" s="1079"/>
      <c r="M683" s="1079"/>
      <c r="N683" s="1079"/>
      <c r="O683" s="1079"/>
      <c r="P683" s="1079"/>
      <c r="Q683" s="1419"/>
      <c r="R683" s="1419"/>
      <c r="S683" s="1419"/>
      <c r="T683" s="1419"/>
      <c r="U683" s="1419"/>
      <c r="V683" s="1419"/>
      <c r="W683" s="1419"/>
      <c r="X683" s="1419"/>
      <c r="Y683" s="1419"/>
      <c r="Z683" s="1419"/>
    </row>
    <row r="684" spans="1:26" ht="19.5" hidden="1">
      <c r="A684" s="1573"/>
      <c r="B684" s="1574" t="s">
        <v>294</v>
      </c>
      <c r="C684" s="1573"/>
      <c r="D684" s="1573"/>
      <c r="E684" s="1573"/>
      <c r="F684" s="1573"/>
      <c r="G684" s="1575"/>
      <c r="H684" s="1575"/>
      <c r="I684" s="1576"/>
      <c r="J684" s="1576"/>
      <c r="K684" s="1577"/>
      <c r="L684" s="1577"/>
      <c r="M684" s="1577"/>
      <c r="N684" s="1577"/>
      <c r="O684" s="1577"/>
      <c r="P684" s="1577"/>
      <c r="Q684" s="1419"/>
      <c r="R684" s="1419"/>
      <c r="S684" s="1419"/>
      <c r="T684" s="1419"/>
      <c r="U684" s="1419"/>
      <c r="V684" s="1419"/>
      <c r="W684" s="1419"/>
      <c r="X684" s="1419"/>
      <c r="Y684" s="1419"/>
      <c r="Z684" s="1419"/>
    </row>
    <row r="685" spans="1:26" ht="19.5" hidden="1">
      <c r="A685" s="1438"/>
      <c r="B685" s="1418"/>
      <c r="C685" s="1418" t="s">
        <v>16</v>
      </c>
      <c r="D685" s="1439" t="s">
        <v>17</v>
      </c>
      <c r="E685" s="987"/>
      <c r="F685" s="987"/>
      <c r="G685" s="1103"/>
      <c r="H685" s="1440" t="s">
        <v>12</v>
      </c>
      <c r="I685" s="949"/>
      <c r="J685" s="949"/>
      <c r="K685" s="950"/>
      <c r="L685" s="1108">
        <f t="shared" ref="L685:N685" ca="1" si="282">L686+L687</f>
        <v>0</v>
      </c>
      <c r="M685" s="1108">
        <f t="shared" si="282"/>
        <v>0</v>
      </c>
      <c r="N685" s="1108">
        <f t="shared" si="282"/>
        <v>0</v>
      </c>
      <c r="O685" s="1108">
        <f t="shared" ref="O685:O688" ca="1" si="283">IF(L685&gt;0,N685*100/L685,0)</f>
        <v>0</v>
      </c>
      <c r="P685" s="1108">
        <f t="shared" ref="P685:P688" si="284">IF(M685&gt;0,N685*100/M685,0)</f>
        <v>0</v>
      </c>
      <c r="Q685" s="1419"/>
      <c r="R685" s="1419"/>
      <c r="S685" s="1419"/>
      <c r="T685" s="1419"/>
      <c r="U685" s="1419"/>
      <c r="V685" s="1419"/>
      <c r="W685" s="1419"/>
      <c r="X685" s="1419"/>
      <c r="Y685" s="1419"/>
      <c r="Z685" s="1419"/>
    </row>
    <row r="686" spans="1:26" ht="18.75" hidden="1">
      <c r="A686" s="1441"/>
      <c r="B686" s="1442"/>
      <c r="C686" s="1442"/>
      <c r="D686" s="1443"/>
      <c r="E686" s="1442" t="s">
        <v>185</v>
      </c>
      <c r="F686" s="1442"/>
      <c r="G686" s="1444"/>
      <c r="H686" s="1081" t="s">
        <v>12</v>
      </c>
      <c r="I686" s="956"/>
      <c r="J686" s="956"/>
      <c r="K686" s="957"/>
      <c r="L686" s="957">
        <f t="shared" ref="L686:N687" si="285">L689+L696</f>
        <v>0</v>
      </c>
      <c r="M686" s="957">
        <f t="shared" si="285"/>
        <v>0</v>
      </c>
      <c r="N686" s="957">
        <f t="shared" si="285"/>
        <v>0</v>
      </c>
      <c r="O686" s="957">
        <f t="shared" si="283"/>
        <v>0</v>
      </c>
      <c r="P686" s="957">
        <f t="shared" si="284"/>
        <v>0</v>
      </c>
      <c r="Q686" s="1445"/>
      <c r="R686" s="1445"/>
      <c r="S686" s="1445"/>
      <c r="T686" s="1445"/>
      <c r="U686" s="1445"/>
      <c r="V686" s="1445"/>
      <c r="W686" s="1445"/>
      <c r="X686" s="1445"/>
      <c r="Y686" s="1445"/>
      <c r="Z686" s="1445"/>
    </row>
    <row r="687" spans="1:26" ht="18.75" hidden="1">
      <c r="A687" s="1441"/>
      <c r="B687" s="1446"/>
      <c r="C687" s="1442"/>
      <c r="D687" s="1443"/>
      <c r="E687" s="1442" t="s">
        <v>186</v>
      </c>
      <c r="F687" s="1442"/>
      <c r="G687" s="1444"/>
      <c r="H687" s="1081" t="s">
        <v>12</v>
      </c>
      <c r="I687" s="956"/>
      <c r="J687" s="956"/>
      <c r="K687" s="957"/>
      <c r="L687" s="957">
        <f t="shared" ca="1" si="285"/>
        <v>0</v>
      </c>
      <c r="M687" s="957">
        <f t="shared" si="285"/>
        <v>0</v>
      </c>
      <c r="N687" s="957">
        <f t="shared" si="285"/>
        <v>0</v>
      </c>
      <c r="O687" s="957">
        <f t="shared" ca="1" si="283"/>
        <v>0</v>
      </c>
      <c r="P687" s="957">
        <f t="shared" si="284"/>
        <v>0</v>
      </c>
      <c r="Q687" s="1445"/>
      <c r="R687" s="1445"/>
      <c r="S687" s="1445"/>
      <c r="T687" s="1445"/>
      <c r="U687" s="1445"/>
      <c r="V687" s="1445"/>
      <c r="W687" s="1445"/>
      <c r="X687" s="1445"/>
      <c r="Y687" s="1445"/>
      <c r="Z687" s="1445"/>
    </row>
    <row r="688" spans="1:26" ht="18.75" hidden="1">
      <c r="A688" s="1438"/>
      <c r="B688" s="1417"/>
      <c r="C688" s="1418"/>
      <c r="D688" s="1447" t="s">
        <v>20</v>
      </c>
      <c r="E688" s="1418"/>
      <c r="F688" s="1418"/>
      <c r="G688" s="1103"/>
      <c r="H688" s="1077" t="s">
        <v>12</v>
      </c>
      <c r="I688" s="1078"/>
      <c r="J688" s="1078"/>
      <c r="K688" s="1079"/>
      <c r="L688" s="950">
        <f t="shared" ref="L688:N688" ca="1" si="286">L689+L690</f>
        <v>0</v>
      </c>
      <c r="M688" s="950">
        <f t="shared" si="286"/>
        <v>0</v>
      </c>
      <c r="N688" s="950">
        <f t="shared" si="286"/>
        <v>0</v>
      </c>
      <c r="O688" s="950">
        <f t="shared" ca="1" si="283"/>
        <v>0</v>
      </c>
      <c r="P688" s="950">
        <f t="shared" si="284"/>
        <v>0</v>
      </c>
      <c r="Q688" s="1419"/>
      <c r="R688" s="1419"/>
      <c r="S688" s="1419"/>
      <c r="T688" s="1419"/>
      <c r="U688" s="1419"/>
      <c r="V688" s="1419"/>
      <c r="W688" s="1419"/>
      <c r="X688" s="1419"/>
      <c r="Y688" s="1419"/>
      <c r="Z688" s="1419"/>
    </row>
    <row r="689" spans="1:26" ht="18.75" hidden="1">
      <c r="A689" s="1441"/>
      <c r="B689" s="1446"/>
      <c r="C689" s="1442"/>
      <c r="D689" s="1443"/>
      <c r="E689" s="1442" t="s">
        <v>185</v>
      </c>
      <c r="F689" s="1442"/>
      <c r="G689" s="1444"/>
      <c r="H689" s="1081" t="s">
        <v>12</v>
      </c>
      <c r="I689" s="956"/>
      <c r="J689" s="956"/>
      <c r="K689" s="957"/>
      <c r="L689" s="957">
        <v>0</v>
      </c>
      <c r="M689" s="957">
        <v>0</v>
      </c>
      <c r="N689" s="957">
        <v>0</v>
      </c>
      <c r="O689" s="957"/>
      <c r="P689" s="957"/>
      <c r="Q689" s="1445"/>
      <c r="R689" s="1445"/>
      <c r="S689" s="1445"/>
      <c r="T689" s="1445"/>
      <c r="U689" s="1445"/>
      <c r="V689" s="1445"/>
      <c r="W689" s="1445"/>
      <c r="X689" s="1445"/>
      <c r="Y689" s="1445"/>
      <c r="Z689" s="1445"/>
    </row>
    <row r="690" spans="1:26" ht="18.75" hidden="1">
      <c r="A690" s="1441"/>
      <c r="B690" s="1446"/>
      <c r="C690" s="1442"/>
      <c r="D690" s="1443"/>
      <c r="E690" s="1442" t="s">
        <v>186</v>
      </c>
      <c r="F690" s="1442"/>
      <c r="G690" s="1444"/>
      <c r="H690" s="1081" t="s">
        <v>12</v>
      </c>
      <c r="I690" s="956"/>
      <c r="J690" s="956"/>
      <c r="K690" s="957"/>
      <c r="L690" s="957">
        <f ca="1">IFERROR(__xludf.DUMMYFUNCTION("IMPORTRANGE(""https://docs.google.com/spreadsheets/d/1QqKyyYR6Q21VydFLVH3TRQUabQu_ym0Zz7PgGX0-kHA/edit?usp=sharing"",""แผน!HW62"")"),0)</f>
        <v>0</v>
      </c>
      <c r="M690" s="957">
        <v>0</v>
      </c>
      <c r="N690" s="957">
        <f>N691+N692+N693+N694</f>
        <v>0</v>
      </c>
      <c r="O690" s="957">
        <f ca="1">IF(L690&gt;0,N690*100/L690,0)</f>
        <v>0</v>
      </c>
      <c r="P690" s="957">
        <f>IF(M690&gt;0,N690*100/M690,0)</f>
        <v>0</v>
      </c>
      <c r="Q690" s="1445"/>
      <c r="R690" s="1445"/>
      <c r="S690" s="1445"/>
      <c r="T690" s="1445"/>
      <c r="U690" s="1445"/>
      <c r="V690" s="1445"/>
      <c r="W690" s="1445"/>
      <c r="X690" s="1445"/>
      <c r="Y690" s="1445"/>
      <c r="Z690" s="1445"/>
    </row>
    <row r="691" spans="1:26" ht="18.75" hidden="1">
      <c r="A691" s="1416"/>
      <c r="B691" s="1417"/>
      <c r="C691" s="1418"/>
      <c r="D691" s="1418"/>
      <c r="E691" s="1418"/>
      <c r="F691" s="1418" t="s">
        <v>187</v>
      </c>
      <c r="G691" s="1103"/>
      <c r="H691" s="1077" t="s">
        <v>12</v>
      </c>
      <c r="I691" s="949"/>
      <c r="J691" s="949"/>
      <c r="K691" s="950"/>
      <c r="L691" s="950"/>
      <c r="M691" s="950"/>
      <c r="N691" s="1186">
        <v>0</v>
      </c>
      <c r="O691" s="950"/>
      <c r="P691" s="950"/>
      <c r="Q691" s="1419"/>
      <c r="R691" s="1419"/>
      <c r="S691" s="1419"/>
      <c r="T691" s="1419"/>
      <c r="U691" s="1419"/>
      <c r="V691" s="1419"/>
      <c r="W691" s="1419"/>
      <c r="X691" s="1419"/>
      <c r="Y691" s="1419"/>
      <c r="Z691" s="1419"/>
    </row>
    <row r="692" spans="1:26" ht="18.75" hidden="1">
      <c r="A692" s="1416"/>
      <c r="B692" s="1417"/>
      <c r="C692" s="1418"/>
      <c r="D692" s="1418"/>
      <c r="E692" s="1418"/>
      <c r="F692" s="1418" t="s">
        <v>188</v>
      </c>
      <c r="G692" s="1103"/>
      <c r="H692" s="1077" t="s">
        <v>12</v>
      </c>
      <c r="I692" s="949"/>
      <c r="J692" s="949"/>
      <c r="K692" s="950"/>
      <c r="L692" s="950"/>
      <c r="M692" s="950"/>
      <c r="N692" s="1186">
        <v>0</v>
      </c>
      <c r="O692" s="950"/>
      <c r="P692" s="950"/>
      <c r="Q692" s="1419"/>
      <c r="R692" s="1419"/>
      <c r="S692" s="1419"/>
      <c r="T692" s="1419"/>
      <c r="U692" s="1419"/>
      <c r="V692" s="1419"/>
      <c r="W692" s="1419"/>
      <c r="X692" s="1419"/>
      <c r="Y692" s="1419"/>
      <c r="Z692" s="1419"/>
    </row>
    <row r="693" spans="1:26" ht="18.75" hidden="1">
      <c r="A693" s="1416"/>
      <c r="B693" s="1417"/>
      <c r="C693" s="1418"/>
      <c r="D693" s="1418"/>
      <c r="E693" s="1418"/>
      <c r="F693" s="1418" t="s">
        <v>189</v>
      </c>
      <c r="G693" s="1103"/>
      <c r="H693" s="1077" t="s">
        <v>12</v>
      </c>
      <c r="I693" s="949"/>
      <c r="J693" s="949"/>
      <c r="K693" s="950"/>
      <c r="L693" s="950"/>
      <c r="M693" s="950"/>
      <c r="N693" s="1186">
        <v>0</v>
      </c>
      <c r="O693" s="950"/>
      <c r="P693" s="950"/>
      <c r="Q693" s="1419"/>
      <c r="R693" s="1419"/>
      <c r="S693" s="1419"/>
      <c r="T693" s="1419"/>
      <c r="U693" s="1419"/>
      <c r="V693" s="1419"/>
      <c r="W693" s="1419"/>
      <c r="X693" s="1419"/>
      <c r="Y693" s="1419"/>
      <c r="Z693" s="1419"/>
    </row>
    <row r="694" spans="1:26" ht="18.75" hidden="1">
      <c r="A694" s="1416"/>
      <c r="B694" s="1417"/>
      <c r="C694" s="1418"/>
      <c r="D694" s="1418"/>
      <c r="E694" s="1418"/>
      <c r="F694" s="1418" t="s">
        <v>190</v>
      </c>
      <c r="G694" s="1103"/>
      <c r="H694" s="1077" t="s">
        <v>12</v>
      </c>
      <c r="I694" s="949"/>
      <c r="J694" s="949"/>
      <c r="K694" s="950"/>
      <c r="L694" s="950"/>
      <c r="M694" s="950"/>
      <c r="N694" s="1186">
        <v>0</v>
      </c>
      <c r="O694" s="950"/>
      <c r="P694" s="950"/>
      <c r="Q694" s="1419"/>
      <c r="R694" s="1419"/>
      <c r="S694" s="1419"/>
      <c r="T694" s="1419"/>
      <c r="U694" s="1419"/>
      <c r="V694" s="1419"/>
      <c r="W694" s="1419"/>
      <c r="X694" s="1419"/>
      <c r="Y694" s="1419"/>
      <c r="Z694" s="1419"/>
    </row>
    <row r="695" spans="1:26" ht="18.75" hidden="1">
      <c r="A695" s="1438"/>
      <c r="B695" s="1417"/>
      <c r="C695" s="1418"/>
      <c r="D695" s="1447" t="s">
        <v>21</v>
      </c>
      <c r="E695" s="1418"/>
      <c r="F695" s="1418"/>
      <c r="G695" s="1103"/>
      <c r="H695" s="1084" t="s">
        <v>12</v>
      </c>
      <c r="I695" s="1078"/>
      <c r="J695" s="1078"/>
      <c r="K695" s="1079"/>
      <c r="L695" s="950">
        <f t="shared" ref="L695:N695" si="287">L696+L697</f>
        <v>0</v>
      </c>
      <c r="M695" s="950">
        <f t="shared" si="287"/>
        <v>0</v>
      </c>
      <c r="N695" s="950">
        <f t="shared" si="287"/>
        <v>0</v>
      </c>
      <c r="O695" s="950">
        <f t="shared" ref="O695:O697" si="288">IF(L695&gt;0,N695*100/L695,0)</f>
        <v>0</v>
      </c>
      <c r="P695" s="950">
        <f t="shared" ref="P695:P697" si="289">IF(M695&gt;0,N695*100/M695,0)</f>
        <v>0</v>
      </c>
      <c r="Q695" s="1419"/>
      <c r="R695" s="1419"/>
      <c r="S695" s="1419"/>
      <c r="T695" s="1419"/>
      <c r="U695" s="1419"/>
      <c r="V695" s="1419"/>
      <c r="W695" s="1419"/>
      <c r="X695" s="1419"/>
      <c r="Y695" s="1419"/>
      <c r="Z695" s="1419"/>
    </row>
    <row r="696" spans="1:26" ht="18.75" hidden="1">
      <c r="A696" s="1441"/>
      <c r="B696" s="1446"/>
      <c r="C696" s="1442"/>
      <c r="D696" s="1442"/>
      <c r="E696" s="1442" t="s">
        <v>18</v>
      </c>
      <c r="F696" s="1442"/>
      <c r="G696" s="1444"/>
      <c r="H696" s="1081" t="s">
        <v>12</v>
      </c>
      <c r="I696" s="1082"/>
      <c r="J696" s="1082"/>
      <c r="K696" s="1083"/>
      <c r="L696" s="957">
        <v>0</v>
      </c>
      <c r="M696" s="957">
        <v>0</v>
      </c>
      <c r="N696" s="957">
        <v>0</v>
      </c>
      <c r="O696" s="957">
        <f t="shared" si="288"/>
        <v>0</v>
      </c>
      <c r="P696" s="957">
        <f t="shared" si="289"/>
        <v>0</v>
      </c>
      <c r="Q696" s="1445"/>
      <c r="R696" s="1445"/>
      <c r="S696" s="1445"/>
      <c r="T696" s="1445"/>
      <c r="U696" s="1445"/>
      <c r="V696" s="1445"/>
      <c r="W696" s="1445"/>
      <c r="X696" s="1445"/>
      <c r="Y696" s="1445"/>
      <c r="Z696" s="1445"/>
    </row>
    <row r="697" spans="1:26" ht="18.75" hidden="1">
      <c r="A697" s="1441"/>
      <c r="B697" s="1446"/>
      <c r="C697" s="1442"/>
      <c r="D697" s="1442"/>
      <c r="E697" s="1442" t="s">
        <v>19</v>
      </c>
      <c r="F697" s="1442"/>
      <c r="G697" s="1444"/>
      <c r="H697" s="1085" t="s">
        <v>12</v>
      </c>
      <c r="I697" s="1082"/>
      <c r="J697" s="1082"/>
      <c r="K697" s="1083"/>
      <c r="L697" s="957">
        <v>0</v>
      </c>
      <c r="M697" s="957">
        <v>0</v>
      </c>
      <c r="N697" s="957">
        <v>0</v>
      </c>
      <c r="O697" s="957">
        <f t="shared" si="288"/>
        <v>0</v>
      </c>
      <c r="P697" s="957">
        <f t="shared" si="289"/>
        <v>0</v>
      </c>
      <c r="Q697" s="1445"/>
      <c r="R697" s="1445"/>
      <c r="S697" s="1445"/>
      <c r="T697" s="1445"/>
      <c r="U697" s="1445"/>
      <c r="V697" s="1445"/>
      <c r="W697" s="1445"/>
      <c r="X697" s="1445"/>
      <c r="Y697" s="1445"/>
      <c r="Z697" s="1445"/>
    </row>
    <row r="698" spans="1:26" ht="19.5" hidden="1">
      <c r="A698" s="1448"/>
      <c r="B698" s="1449"/>
      <c r="C698" s="1418" t="s">
        <v>16</v>
      </c>
      <c r="D698" s="1578" t="s">
        <v>38</v>
      </c>
      <c r="E698" s="1452"/>
      <c r="F698" s="1452"/>
      <c r="G698" s="1453"/>
      <c r="H698" s="1091"/>
      <c r="I698" s="1078"/>
      <c r="J698" s="1078"/>
      <c r="K698" s="1079"/>
      <c r="L698" s="1079"/>
      <c r="M698" s="1079"/>
      <c r="N698" s="1079"/>
      <c r="O698" s="1079"/>
      <c r="P698" s="1079"/>
      <c r="Q698" s="1419"/>
      <c r="R698" s="1419"/>
      <c r="S698" s="1419"/>
      <c r="T698" s="1419"/>
      <c r="U698" s="1419"/>
      <c r="V698" s="1419"/>
      <c r="W698" s="1419"/>
      <c r="X698" s="1419"/>
      <c r="Y698" s="1419"/>
      <c r="Z698" s="1419"/>
    </row>
    <row r="699" spans="1:26" ht="18.75" hidden="1">
      <c r="A699" s="1567"/>
      <c r="B699" s="1418"/>
      <c r="C699" s="1418"/>
      <c r="D699" s="1418" t="s">
        <v>295</v>
      </c>
      <c r="E699" s="1418"/>
      <c r="F699" s="1418"/>
      <c r="G699" s="1103"/>
      <c r="H699" s="1097" t="s">
        <v>46</v>
      </c>
      <c r="I699" s="1579">
        <f ca="1">IFERROR(__xludf.DUMMYFUNCTION("IMPORTRANGE(""https://docs.google.com/spreadsheets/d/1QqKyyYR6Q21VydFLVH3TRQUabQu_ym0Zz7PgGX0-kHA/edit?usp=sharing"",""แผน!IC62"")"),0)</f>
        <v>0</v>
      </c>
      <c r="J699" s="949">
        <f ca="1">IFERROR(__xludf.DUMMYFUNCTION("IMPORTRANGE(""https://docs.google.com/spreadsheets/d/1XWAQStnk-4SwqDmLtmXYiTMKHgktTP8We1SCoS47DrQ/edit?usp=sharing"",""จัดที่ดิน!BB62"")"),0)</f>
        <v>0</v>
      </c>
      <c r="K699" s="950">
        <f t="shared" ref="K699:K701" ca="1" si="290">IF(I699&gt;0,J699*100/I699,0)</f>
        <v>0</v>
      </c>
      <c r="L699" s="950"/>
      <c r="M699" s="1103"/>
      <c r="N699" s="1580"/>
      <c r="O699" s="950"/>
      <c r="P699" s="950"/>
      <c r="Q699" s="1419"/>
      <c r="R699" s="1419"/>
      <c r="S699" s="1419"/>
      <c r="T699" s="1419"/>
      <c r="U699" s="1419"/>
      <c r="V699" s="1419"/>
      <c r="W699" s="1419"/>
      <c r="X699" s="1419"/>
      <c r="Y699" s="1419"/>
      <c r="Z699" s="1419"/>
    </row>
    <row r="700" spans="1:26" ht="18.75" hidden="1">
      <c r="A700" s="1567"/>
      <c r="B700" s="1418"/>
      <c r="C700" s="1418"/>
      <c r="D700" s="1418" t="s">
        <v>296</v>
      </c>
      <c r="E700" s="1418"/>
      <c r="F700" s="1418"/>
      <c r="G700" s="1103"/>
      <c r="H700" s="1097" t="s">
        <v>35</v>
      </c>
      <c r="I700" s="1579">
        <f ca="1">IFERROR(__xludf.DUMMYFUNCTION("IMPORTRANGE(""https://docs.google.com/spreadsheets/d/1QqKyyYR6Q21VydFLVH3TRQUabQu_ym0Zz7PgGX0-kHA/edit?usp=sharing"",""แผน!ID62"")"),0)</f>
        <v>0</v>
      </c>
      <c r="J700" s="949">
        <f ca="1">IFERROR(__xludf.DUMMYFUNCTION("IMPORTRANGE(""https://docs.google.com/spreadsheets/d/1XWAQStnk-4SwqDmLtmXYiTMKHgktTP8We1SCoS47DrQ/edit?usp=sharing"",""จัดที่ดิน!BD62"")"),0)</f>
        <v>0</v>
      </c>
      <c r="K700" s="950">
        <f t="shared" ca="1" si="290"/>
        <v>0</v>
      </c>
      <c r="L700" s="950"/>
      <c r="M700" s="1103"/>
      <c r="N700" s="1580"/>
      <c r="O700" s="950"/>
      <c r="P700" s="950"/>
      <c r="Q700" s="1419"/>
      <c r="R700" s="1419"/>
      <c r="S700" s="1419"/>
      <c r="T700" s="1419"/>
      <c r="U700" s="1419"/>
      <c r="V700" s="1419"/>
      <c r="W700" s="1419"/>
      <c r="X700" s="1419"/>
      <c r="Y700" s="1419"/>
      <c r="Z700" s="1419"/>
    </row>
    <row r="701" spans="1:26" ht="19.5" hidden="1">
      <c r="A701" s="1567"/>
      <c r="B701" s="1418"/>
      <c r="C701" s="1418"/>
      <c r="D701" s="1418" t="s">
        <v>297</v>
      </c>
      <c r="E701" s="1418"/>
      <c r="F701" s="1418"/>
      <c r="G701" s="1103"/>
      <c r="H701" s="1105" t="s">
        <v>46</v>
      </c>
      <c r="I701" s="1581">
        <f ca="1">IFERROR(__xludf.DUMMYFUNCTION("IMPORTRANGE(""https://docs.google.com/spreadsheets/d/1QqKyyYR6Q21VydFLVH3TRQUabQu_ym0Zz7PgGX0-kHA/edit?usp=sharing"",""แผน!IE62"")"),0)</f>
        <v>0</v>
      </c>
      <c r="J701" s="1107">
        <f>J704+J707</f>
        <v>0</v>
      </c>
      <c r="K701" s="1108">
        <f t="shared" ca="1" si="290"/>
        <v>0</v>
      </c>
      <c r="L701" s="950"/>
      <c r="M701" s="1103"/>
      <c r="N701" s="1580"/>
      <c r="O701" s="950"/>
      <c r="P701" s="950"/>
      <c r="Q701" s="1419"/>
      <c r="R701" s="1419"/>
      <c r="S701" s="1419"/>
      <c r="T701" s="1419"/>
      <c r="U701" s="1419"/>
      <c r="V701" s="1419"/>
      <c r="W701" s="1419"/>
      <c r="X701" s="1419"/>
      <c r="Y701" s="1419"/>
      <c r="Z701" s="1419"/>
    </row>
    <row r="702" spans="1:26" ht="18.75" hidden="1">
      <c r="A702" s="1567"/>
      <c r="B702" s="1418"/>
      <c r="C702" s="1418"/>
      <c r="D702" s="1418"/>
      <c r="E702" s="1418" t="s">
        <v>298</v>
      </c>
      <c r="F702" s="1418"/>
      <c r="G702" s="1103"/>
      <c r="H702" s="1097" t="s">
        <v>35</v>
      </c>
      <c r="I702" s="1579"/>
      <c r="J702" s="1098">
        <v>0</v>
      </c>
      <c r="K702" s="950"/>
      <c r="L702" s="950"/>
      <c r="M702" s="1103"/>
      <c r="N702" s="1580"/>
      <c r="O702" s="950"/>
      <c r="P702" s="950"/>
      <c r="Q702" s="1419"/>
      <c r="R702" s="1419"/>
      <c r="S702" s="1419"/>
      <c r="T702" s="1419"/>
      <c r="U702" s="1419"/>
      <c r="V702" s="1419"/>
      <c r="W702" s="1419"/>
      <c r="X702" s="1419"/>
      <c r="Y702" s="1419"/>
      <c r="Z702" s="1419"/>
    </row>
    <row r="703" spans="1:26" ht="18.75" hidden="1">
      <c r="A703" s="1567"/>
      <c r="B703" s="1418"/>
      <c r="C703" s="1418"/>
      <c r="D703" s="1418"/>
      <c r="E703" s="1418"/>
      <c r="F703" s="1418"/>
      <c r="G703" s="1103"/>
      <c r="H703" s="1097" t="s">
        <v>34</v>
      </c>
      <c r="I703" s="1579"/>
      <c r="J703" s="1098">
        <v>0</v>
      </c>
      <c r="K703" s="950"/>
      <c r="L703" s="950"/>
      <c r="M703" s="1103"/>
      <c r="N703" s="1580"/>
      <c r="O703" s="950"/>
      <c r="P703" s="950"/>
      <c r="Q703" s="1419"/>
      <c r="R703" s="1419"/>
      <c r="S703" s="1419"/>
      <c r="T703" s="1419"/>
      <c r="U703" s="1419"/>
      <c r="V703" s="1419"/>
      <c r="W703" s="1419"/>
      <c r="X703" s="1419"/>
      <c r="Y703" s="1419"/>
      <c r="Z703" s="1419"/>
    </row>
    <row r="704" spans="1:26" ht="18.75" hidden="1">
      <c r="A704" s="1567"/>
      <c r="B704" s="1418"/>
      <c r="C704" s="1418"/>
      <c r="D704" s="1418"/>
      <c r="E704" s="1418"/>
      <c r="F704" s="1418"/>
      <c r="G704" s="1103"/>
      <c r="H704" s="1097" t="s">
        <v>46</v>
      </c>
      <c r="I704" s="1579">
        <f ca="1">IFERROR(__xludf.DUMMYFUNCTION("IMPORTRANGE(""https://docs.google.com/spreadsheets/d/1QqKyyYR6Q21VydFLVH3TRQUabQu_ym0Zz7PgGX0-kHA/edit?usp=sharing"",""แผน!IF62"")"),0)</f>
        <v>0</v>
      </c>
      <c r="J704" s="1098">
        <v>0</v>
      </c>
      <c r="K704" s="950"/>
      <c r="L704" s="950"/>
      <c r="M704" s="1103"/>
      <c r="N704" s="1580"/>
      <c r="O704" s="950"/>
      <c r="P704" s="950"/>
      <c r="Q704" s="1419"/>
      <c r="R704" s="1419"/>
      <c r="S704" s="1419"/>
      <c r="T704" s="1419"/>
      <c r="U704" s="1419"/>
      <c r="V704" s="1419"/>
      <c r="W704" s="1419"/>
      <c r="X704" s="1419"/>
      <c r="Y704" s="1419"/>
      <c r="Z704" s="1419"/>
    </row>
    <row r="705" spans="1:26" ht="18.75" hidden="1">
      <c r="A705" s="1567"/>
      <c r="B705" s="1418"/>
      <c r="C705" s="1418"/>
      <c r="D705" s="1418"/>
      <c r="E705" s="1418" t="s">
        <v>299</v>
      </c>
      <c r="F705" s="1418"/>
      <c r="G705" s="1103"/>
      <c r="H705" s="1097" t="s">
        <v>35</v>
      </c>
      <c r="I705" s="1579"/>
      <c r="J705" s="1098">
        <v>0</v>
      </c>
      <c r="K705" s="950"/>
      <c r="L705" s="950"/>
      <c r="M705" s="1103"/>
      <c r="N705" s="1580"/>
      <c r="O705" s="950"/>
      <c r="P705" s="950"/>
      <c r="Q705" s="1419"/>
      <c r="R705" s="1419"/>
      <c r="S705" s="1419"/>
      <c r="T705" s="1419"/>
      <c r="U705" s="1419"/>
      <c r="V705" s="1419"/>
      <c r="W705" s="1419"/>
      <c r="X705" s="1419"/>
      <c r="Y705" s="1419"/>
      <c r="Z705" s="1419"/>
    </row>
    <row r="706" spans="1:26" ht="18.75" hidden="1">
      <c r="A706" s="1567"/>
      <c r="B706" s="1418"/>
      <c r="C706" s="1418"/>
      <c r="D706" s="1418"/>
      <c r="E706" s="1418"/>
      <c r="F706" s="1418"/>
      <c r="G706" s="1103"/>
      <c r="H706" s="1097" t="s">
        <v>34</v>
      </c>
      <c r="I706" s="1579"/>
      <c r="J706" s="1098">
        <v>0</v>
      </c>
      <c r="K706" s="950"/>
      <c r="L706" s="950"/>
      <c r="M706" s="1103"/>
      <c r="N706" s="1580"/>
      <c r="O706" s="950"/>
      <c r="P706" s="950"/>
      <c r="Q706" s="1419"/>
      <c r="R706" s="1419"/>
      <c r="S706" s="1419"/>
      <c r="T706" s="1419"/>
      <c r="U706" s="1419"/>
      <c r="V706" s="1419"/>
      <c r="W706" s="1419"/>
      <c r="X706" s="1419"/>
      <c r="Y706" s="1419"/>
      <c r="Z706" s="1419"/>
    </row>
    <row r="707" spans="1:26" ht="18.75" hidden="1">
      <c r="A707" s="1567"/>
      <c r="B707" s="1418"/>
      <c r="C707" s="1418"/>
      <c r="D707" s="1418"/>
      <c r="E707" s="1418"/>
      <c r="F707" s="1418"/>
      <c r="G707" s="1103"/>
      <c r="H707" s="1097" t="s">
        <v>46</v>
      </c>
      <c r="I707" s="1579">
        <f ca="1">IFERROR(__xludf.DUMMYFUNCTION("IMPORTRANGE(""https://docs.google.com/spreadsheets/d/1QqKyyYR6Q21VydFLVH3TRQUabQu_ym0Zz7PgGX0-kHA/edit?usp=sharing"",""แผน!IG62"")"),0)</f>
        <v>0</v>
      </c>
      <c r="J707" s="1098">
        <v>0</v>
      </c>
      <c r="K707" s="950"/>
      <c r="L707" s="950"/>
      <c r="M707" s="1103"/>
      <c r="N707" s="1580"/>
      <c r="O707" s="950"/>
      <c r="P707" s="950"/>
      <c r="Q707" s="1419"/>
      <c r="R707" s="1419"/>
      <c r="S707" s="1419"/>
      <c r="T707" s="1419"/>
      <c r="U707" s="1419"/>
      <c r="V707" s="1419"/>
      <c r="W707" s="1419"/>
      <c r="X707" s="1419"/>
      <c r="Y707" s="1419"/>
      <c r="Z707" s="1419"/>
    </row>
    <row r="708" spans="1:26" ht="19.5" hidden="1">
      <c r="A708" s="1567"/>
      <c r="B708" s="1418"/>
      <c r="C708" s="1418"/>
      <c r="D708" s="1512" t="s">
        <v>300</v>
      </c>
      <c r="E708" s="1418"/>
      <c r="F708" s="1418"/>
      <c r="G708" s="1103"/>
      <c r="H708" s="1105" t="s">
        <v>46</v>
      </c>
      <c r="I708" s="1581">
        <f ca="1">IFERROR(__xludf.DUMMYFUNCTION("IMPORTRANGE(""https://docs.google.com/spreadsheets/d/1QqKyyYR6Q21VydFLVH3TRQUabQu_ym0Zz7PgGX0-kHA/edit?usp=sharing"",""แผน!IH62"")"),0)</f>
        <v>0</v>
      </c>
      <c r="J708" s="1107">
        <f>J714+J717</f>
        <v>0</v>
      </c>
      <c r="K708" s="1108">
        <f ca="1">IF(I708&gt;0,J708*100/I708,0)</f>
        <v>0</v>
      </c>
      <c r="L708" s="950"/>
      <c r="M708" s="1103"/>
      <c r="N708" s="1580"/>
      <c r="O708" s="950"/>
      <c r="P708" s="950"/>
      <c r="Q708" s="1419"/>
      <c r="R708" s="1419"/>
      <c r="S708" s="1419"/>
      <c r="T708" s="1419"/>
      <c r="U708" s="1419"/>
      <c r="V708" s="1419"/>
      <c r="W708" s="1419"/>
      <c r="X708" s="1419"/>
      <c r="Y708" s="1419"/>
      <c r="Z708" s="1419"/>
    </row>
    <row r="709" spans="1:26" ht="18.75" hidden="1">
      <c r="A709" s="1567"/>
      <c r="B709" s="1418"/>
      <c r="C709" s="1418"/>
      <c r="D709" s="1418"/>
      <c r="E709" s="1418" t="s">
        <v>301</v>
      </c>
      <c r="F709" s="1418"/>
      <c r="G709" s="1103"/>
      <c r="H709" s="1097" t="s">
        <v>34</v>
      </c>
      <c r="I709" s="1579"/>
      <c r="J709" s="1098">
        <v>0</v>
      </c>
      <c r="K709" s="950"/>
      <c r="L709" s="1580"/>
      <c r="M709" s="1103"/>
      <c r="N709" s="1580"/>
      <c r="O709" s="950"/>
      <c r="P709" s="950"/>
      <c r="Q709" s="1419"/>
      <c r="R709" s="1419"/>
      <c r="S709" s="1419"/>
      <c r="T709" s="1419"/>
      <c r="U709" s="1419"/>
      <c r="V709" s="1419"/>
      <c r="W709" s="1419"/>
      <c r="X709" s="1419"/>
      <c r="Y709" s="1419"/>
      <c r="Z709" s="1419"/>
    </row>
    <row r="710" spans="1:26" ht="18.75" hidden="1">
      <c r="A710" s="1567"/>
      <c r="B710" s="1418"/>
      <c r="C710" s="1418"/>
      <c r="D710" s="1418"/>
      <c r="E710" s="1418"/>
      <c r="F710" s="1418"/>
      <c r="G710" s="1103"/>
      <c r="H710" s="1097" t="s">
        <v>46</v>
      </c>
      <c r="I710" s="1579"/>
      <c r="J710" s="1098">
        <v>0</v>
      </c>
      <c r="K710" s="950"/>
      <c r="L710" s="1580"/>
      <c r="M710" s="1103"/>
      <c r="N710" s="1580"/>
      <c r="O710" s="950"/>
      <c r="P710" s="950"/>
      <c r="Q710" s="1419"/>
      <c r="R710" s="1419"/>
      <c r="S710" s="1419"/>
      <c r="T710" s="1419"/>
      <c r="U710" s="1419"/>
      <c r="V710" s="1419"/>
      <c r="W710" s="1419"/>
      <c r="X710" s="1419"/>
      <c r="Y710" s="1419"/>
      <c r="Z710" s="1419"/>
    </row>
    <row r="711" spans="1:26" ht="18.75" hidden="1">
      <c r="A711" s="1567"/>
      <c r="B711" s="1418"/>
      <c r="C711" s="1418"/>
      <c r="D711" s="1418"/>
      <c r="E711" s="1418" t="s">
        <v>302</v>
      </c>
      <c r="F711" s="1418"/>
      <c r="G711" s="1103"/>
      <c r="H711" s="1091"/>
      <c r="I711" s="1579"/>
      <c r="J711" s="949"/>
      <c r="K711" s="950"/>
      <c r="L711" s="1580"/>
      <c r="M711" s="1103"/>
      <c r="N711" s="1580"/>
      <c r="O711" s="950"/>
      <c r="P711" s="950"/>
      <c r="Q711" s="1419"/>
      <c r="R711" s="1419"/>
      <c r="S711" s="1419"/>
      <c r="T711" s="1419"/>
      <c r="U711" s="1419"/>
      <c r="V711" s="1419"/>
      <c r="W711" s="1419"/>
      <c r="X711" s="1419"/>
      <c r="Y711" s="1419"/>
      <c r="Z711" s="1419"/>
    </row>
    <row r="712" spans="1:26" ht="18.75" hidden="1">
      <c r="A712" s="1567"/>
      <c r="B712" s="1418"/>
      <c r="C712" s="1418"/>
      <c r="D712" s="1418"/>
      <c r="E712" s="1418"/>
      <c r="F712" s="1418" t="s">
        <v>303</v>
      </c>
      <c r="G712" s="1103"/>
      <c r="H712" s="1097" t="s">
        <v>35</v>
      </c>
      <c r="I712" s="1579"/>
      <c r="J712" s="1098">
        <v>0</v>
      </c>
      <c r="K712" s="950"/>
      <c r="L712" s="1580"/>
      <c r="M712" s="1103"/>
      <c r="N712" s="1580"/>
      <c r="O712" s="950"/>
      <c r="P712" s="950"/>
      <c r="Q712" s="1419"/>
      <c r="R712" s="1419"/>
      <c r="S712" s="1419"/>
      <c r="T712" s="1419"/>
      <c r="U712" s="1419"/>
      <c r="V712" s="1419"/>
      <c r="W712" s="1419"/>
      <c r="X712" s="1419"/>
      <c r="Y712" s="1419"/>
      <c r="Z712" s="1419"/>
    </row>
    <row r="713" spans="1:26" ht="18.75" hidden="1">
      <c r="A713" s="1567"/>
      <c r="B713" s="1418"/>
      <c r="C713" s="1418"/>
      <c r="D713" s="1418"/>
      <c r="E713" s="1418"/>
      <c r="F713" s="1418"/>
      <c r="G713" s="1103"/>
      <c r="H713" s="1097" t="s">
        <v>34</v>
      </c>
      <c r="I713" s="1579"/>
      <c r="J713" s="1098">
        <v>0</v>
      </c>
      <c r="K713" s="950"/>
      <c r="L713" s="1580"/>
      <c r="M713" s="1103"/>
      <c r="N713" s="1580"/>
      <c r="O713" s="950"/>
      <c r="P713" s="950"/>
      <c r="Q713" s="1419"/>
      <c r="R713" s="1419"/>
      <c r="S713" s="1419"/>
      <c r="T713" s="1419"/>
      <c r="U713" s="1419"/>
      <c r="V713" s="1419"/>
      <c r="W713" s="1419"/>
      <c r="X713" s="1419"/>
      <c r="Y713" s="1419"/>
      <c r="Z713" s="1419"/>
    </row>
    <row r="714" spans="1:26" ht="18.75" hidden="1">
      <c r="A714" s="1567"/>
      <c r="B714" s="1418"/>
      <c r="C714" s="1418"/>
      <c r="D714" s="1418"/>
      <c r="E714" s="1418"/>
      <c r="F714" s="1418"/>
      <c r="G714" s="1103"/>
      <c r="H714" s="1097" t="s">
        <v>46</v>
      </c>
      <c r="I714" s="1579"/>
      <c r="J714" s="1098">
        <v>0</v>
      </c>
      <c r="K714" s="950"/>
      <c r="L714" s="1580"/>
      <c r="M714" s="1103"/>
      <c r="N714" s="1580"/>
      <c r="O714" s="950"/>
      <c r="P714" s="950"/>
      <c r="Q714" s="1419"/>
      <c r="R714" s="1419"/>
      <c r="S714" s="1419"/>
      <c r="T714" s="1419"/>
      <c r="U714" s="1419"/>
      <c r="V714" s="1419"/>
      <c r="W714" s="1419"/>
      <c r="X714" s="1419"/>
      <c r="Y714" s="1419"/>
      <c r="Z714" s="1419"/>
    </row>
    <row r="715" spans="1:26" ht="18.75" hidden="1">
      <c r="A715" s="1567"/>
      <c r="B715" s="1418"/>
      <c r="C715" s="1418"/>
      <c r="D715" s="1418"/>
      <c r="E715" s="1418"/>
      <c r="F715" s="1418" t="s">
        <v>304</v>
      </c>
      <c r="G715" s="1103"/>
      <c r="H715" s="1097" t="s">
        <v>35</v>
      </c>
      <c r="I715" s="1579"/>
      <c r="J715" s="1098">
        <v>0</v>
      </c>
      <c r="K715" s="950"/>
      <c r="L715" s="1580"/>
      <c r="M715" s="1103"/>
      <c r="N715" s="1580"/>
      <c r="O715" s="950"/>
      <c r="P715" s="950"/>
      <c r="Q715" s="1419"/>
      <c r="R715" s="1419"/>
      <c r="S715" s="1419"/>
      <c r="T715" s="1419"/>
      <c r="U715" s="1419"/>
      <c r="V715" s="1419"/>
      <c r="W715" s="1419"/>
      <c r="X715" s="1419"/>
      <c r="Y715" s="1419"/>
      <c r="Z715" s="1419"/>
    </row>
    <row r="716" spans="1:26" ht="18.75" hidden="1">
      <c r="A716" s="1567"/>
      <c r="B716" s="1418"/>
      <c r="C716" s="1418"/>
      <c r="D716" s="1418"/>
      <c r="E716" s="1418"/>
      <c r="F716" s="1418"/>
      <c r="G716" s="1103"/>
      <c r="H716" s="1097" t="s">
        <v>34</v>
      </c>
      <c r="I716" s="1579"/>
      <c r="J716" s="1098">
        <v>0</v>
      </c>
      <c r="K716" s="950"/>
      <c r="L716" s="1580"/>
      <c r="M716" s="1103"/>
      <c r="N716" s="1580"/>
      <c r="O716" s="950"/>
      <c r="P716" s="950"/>
      <c r="Q716" s="1419"/>
      <c r="R716" s="1419"/>
      <c r="S716" s="1419"/>
      <c r="T716" s="1419"/>
      <c r="U716" s="1419"/>
      <c r="V716" s="1419"/>
      <c r="W716" s="1419"/>
      <c r="X716" s="1419"/>
      <c r="Y716" s="1419"/>
      <c r="Z716" s="1419"/>
    </row>
    <row r="717" spans="1:26" ht="18.75" hidden="1">
      <c r="A717" s="1567"/>
      <c r="B717" s="1418"/>
      <c r="C717" s="1418"/>
      <c r="D717" s="1418"/>
      <c r="E717" s="1418"/>
      <c r="F717" s="1418"/>
      <c r="G717" s="1103"/>
      <c r="H717" s="1097" t="s">
        <v>46</v>
      </c>
      <c r="I717" s="1579"/>
      <c r="J717" s="1098">
        <v>0</v>
      </c>
      <c r="K717" s="950"/>
      <c r="L717" s="1580"/>
      <c r="M717" s="1103"/>
      <c r="N717" s="1580"/>
      <c r="O717" s="950"/>
      <c r="P717" s="950"/>
      <c r="Q717" s="1419"/>
      <c r="R717" s="1419"/>
      <c r="S717" s="1419"/>
      <c r="T717" s="1419"/>
      <c r="U717" s="1419"/>
      <c r="V717" s="1419"/>
      <c r="W717" s="1419"/>
      <c r="X717" s="1419"/>
      <c r="Y717" s="1419"/>
      <c r="Z717" s="1419"/>
    </row>
    <row r="718" spans="1:26" ht="18.75" hidden="1">
      <c r="A718" s="1567"/>
      <c r="B718" s="1418"/>
      <c r="C718" s="1418"/>
      <c r="D718" s="1418" t="s">
        <v>305</v>
      </c>
      <c r="E718" s="1418"/>
      <c r="F718" s="1418"/>
      <c r="G718" s="1103"/>
      <c r="H718" s="1097" t="s">
        <v>35</v>
      </c>
      <c r="I718" s="1579"/>
      <c r="J718" s="949">
        <f ca="1">IFERROR(__xludf.DUMMYFUNCTION("IMPORTRANGE(""https://docs.google.com/spreadsheets/d/1XWAQStnk-4SwqDmLtmXYiTMKHgktTP8We1SCoS47DrQ/edit?usp=sharing"",""จัดที่ดิน!BF62"")"),0)</f>
        <v>0</v>
      </c>
      <c r="K718" s="950"/>
      <c r="L718" s="950"/>
      <c r="M718" s="1103"/>
      <c r="N718" s="1580"/>
      <c r="O718" s="950"/>
      <c r="P718" s="950"/>
      <c r="Q718" s="1419"/>
      <c r="R718" s="1419"/>
      <c r="S718" s="1419"/>
      <c r="T718" s="1419"/>
      <c r="U718" s="1419"/>
      <c r="V718" s="1419"/>
      <c r="W718" s="1419"/>
      <c r="X718" s="1419"/>
      <c r="Y718" s="1419"/>
      <c r="Z718" s="1419"/>
    </row>
    <row r="719" spans="1:26" ht="18.75" hidden="1">
      <c r="A719" s="1567"/>
      <c r="B719" s="1418"/>
      <c r="C719" s="1418"/>
      <c r="D719" s="1418"/>
      <c r="E719" s="1418"/>
      <c r="F719" s="1418"/>
      <c r="G719" s="1103"/>
      <c r="H719" s="1097" t="s">
        <v>34</v>
      </c>
      <c r="I719" s="1579"/>
      <c r="J719" s="949">
        <f ca="1">IFERROR(__xludf.DUMMYFUNCTION("IMPORTRANGE(""https://docs.google.com/spreadsheets/d/1XWAQStnk-4SwqDmLtmXYiTMKHgktTP8We1SCoS47DrQ/edit?usp=sharing"",""จัดที่ดิน!BG62"")"),0)</f>
        <v>0</v>
      </c>
      <c r="K719" s="950"/>
      <c r="L719" s="1580"/>
      <c r="M719" s="1103"/>
      <c r="N719" s="1580"/>
      <c r="O719" s="950"/>
      <c r="P719" s="950"/>
      <c r="Q719" s="1419"/>
      <c r="R719" s="1419"/>
      <c r="S719" s="1419"/>
      <c r="T719" s="1419"/>
      <c r="U719" s="1419"/>
      <c r="V719" s="1419"/>
      <c r="W719" s="1419"/>
      <c r="X719" s="1419"/>
      <c r="Y719" s="1419"/>
      <c r="Z719" s="1419"/>
    </row>
    <row r="720" spans="1:26" ht="18.75" hidden="1">
      <c r="A720" s="1567"/>
      <c r="B720" s="1418"/>
      <c r="C720" s="1418"/>
      <c r="D720" s="1418"/>
      <c r="E720" s="1418"/>
      <c r="F720" s="1418"/>
      <c r="G720" s="1103"/>
      <c r="H720" s="1097" t="s">
        <v>46</v>
      </c>
      <c r="I720" s="1579">
        <f ca="1">IFERROR(__xludf.DUMMYFUNCTION("IMPORTRANGE(""https://docs.google.com/spreadsheets/d/1QqKyyYR6Q21VydFLVH3TRQUabQu_ym0Zz7PgGX0-kHA/edit?usp=sharing"",""แผน!II62"")"),0)</f>
        <v>0</v>
      </c>
      <c r="J720" s="949">
        <f ca="1">IFERROR(__xludf.DUMMYFUNCTION("IMPORTRANGE(""https://docs.google.com/spreadsheets/d/1XWAQStnk-4SwqDmLtmXYiTMKHgktTP8We1SCoS47DrQ/edit?usp=sharing"",""จัดที่ดิน!BH62"")"),0)</f>
        <v>0</v>
      </c>
      <c r="K720" s="950">
        <f t="shared" ref="K720:K723" ca="1" si="291">IF(I720&gt;0,J720*100/I720,0)</f>
        <v>0</v>
      </c>
      <c r="L720" s="1580"/>
      <c r="M720" s="1103"/>
      <c r="N720" s="1580"/>
      <c r="O720" s="950"/>
      <c r="P720" s="950"/>
      <c r="Q720" s="1419"/>
      <c r="R720" s="1419"/>
      <c r="S720" s="1419"/>
      <c r="T720" s="1419"/>
      <c r="U720" s="1419"/>
      <c r="V720" s="1419"/>
      <c r="W720" s="1419"/>
      <c r="X720" s="1419"/>
      <c r="Y720" s="1419"/>
      <c r="Z720" s="1419"/>
    </row>
    <row r="721" spans="1:26" ht="19.5" hidden="1">
      <c r="A721" s="1567"/>
      <c r="B721" s="1418"/>
      <c r="C721" s="1418"/>
      <c r="D721" s="1418" t="s">
        <v>306</v>
      </c>
      <c r="E721" s="1418"/>
      <c r="F721" s="1418"/>
      <c r="G721" s="1103"/>
      <c r="H721" s="1105" t="s">
        <v>35</v>
      </c>
      <c r="I721" s="1581">
        <f ca="1">IFERROR(__xludf.DUMMYFUNCTION("IMPORTRANGE(""https://docs.google.com/spreadsheets/d/1QqKyyYR6Q21VydFLVH3TRQUabQu_ym0Zz7PgGX0-kHA/edit?usp=sharing"",""แผน!IJ62"")"),0)</f>
        <v>0</v>
      </c>
      <c r="J721" s="1107">
        <f ca="1">J723+J726</f>
        <v>0</v>
      </c>
      <c r="K721" s="1108">
        <f t="shared" ca="1" si="291"/>
        <v>0</v>
      </c>
      <c r="L721" s="1580"/>
      <c r="M721" s="1103"/>
      <c r="N721" s="1580"/>
      <c r="O721" s="950"/>
      <c r="P721" s="950"/>
      <c r="Q721" s="1419"/>
      <c r="R721" s="1419"/>
      <c r="S721" s="1419"/>
      <c r="T721" s="1419"/>
      <c r="U721" s="1419"/>
      <c r="V721" s="1419"/>
      <c r="W721" s="1419"/>
      <c r="X721" s="1419"/>
      <c r="Y721" s="1419"/>
      <c r="Z721" s="1419"/>
    </row>
    <row r="722" spans="1:26" ht="19.5" hidden="1">
      <c r="A722" s="1567"/>
      <c r="B722" s="1418"/>
      <c r="C722" s="1418"/>
      <c r="D722" s="1418"/>
      <c r="E722" s="1418"/>
      <c r="F722" s="1418"/>
      <c r="G722" s="1103"/>
      <c r="H722" s="1105" t="s">
        <v>46</v>
      </c>
      <c r="I722" s="1581">
        <f ca="1">IFERROR(__xludf.DUMMYFUNCTION("IMPORTRANGE(""https://docs.google.com/spreadsheets/d/1QqKyyYR6Q21VydFLVH3TRQUabQu_ym0Zz7PgGX0-kHA/edit?usp=sharing"",""แผน!IK62"")"),0)</f>
        <v>0</v>
      </c>
      <c r="J722" s="1107">
        <f ca="1">J725+J728</f>
        <v>0</v>
      </c>
      <c r="K722" s="1108">
        <f t="shared" ca="1" si="291"/>
        <v>0</v>
      </c>
      <c r="L722" s="950"/>
      <c r="M722" s="1103"/>
      <c r="N722" s="1580"/>
      <c r="O722" s="950"/>
      <c r="P722" s="950"/>
      <c r="Q722" s="1419"/>
      <c r="R722" s="1419"/>
      <c r="S722" s="1419"/>
      <c r="T722" s="1419"/>
      <c r="U722" s="1419"/>
      <c r="V722" s="1419"/>
      <c r="W722" s="1419"/>
      <c r="X722" s="1419"/>
      <c r="Y722" s="1419"/>
      <c r="Z722" s="1419"/>
    </row>
    <row r="723" spans="1:26" ht="18.75" hidden="1">
      <c r="A723" s="1567"/>
      <c r="B723" s="1418"/>
      <c r="C723" s="1418"/>
      <c r="D723" s="1418"/>
      <c r="E723" s="1418" t="s">
        <v>307</v>
      </c>
      <c r="F723" s="1418"/>
      <c r="G723" s="1103"/>
      <c r="H723" s="1097" t="s">
        <v>35</v>
      </c>
      <c r="I723" s="1579">
        <f ca="1">IFERROR(__xludf.DUMMYFUNCTION("IMPORTRANGE(""https://docs.google.com/spreadsheets/d/1QqKyyYR6Q21VydFLVH3TRQUabQu_ym0Zz7PgGX0-kHA/edit?usp=sharing"",""แผน!IL62"")"),0)</f>
        <v>0</v>
      </c>
      <c r="J723" s="949">
        <f ca="1">IFERROR(__xludf.DUMMYFUNCTION("IMPORTRANGE(""https://docs.google.com/spreadsheets/d/1XWAQStnk-4SwqDmLtmXYiTMKHgktTP8We1SCoS47DrQ/edit?usp=sharing"",""จัดที่ดิน!BM62"")"),0)</f>
        <v>0</v>
      </c>
      <c r="K723" s="950">
        <f t="shared" ca="1" si="291"/>
        <v>0</v>
      </c>
      <c r="L723" s="950"/>
      <c r="M723" s="1103"/>
      <c r="N723" s="1580"/>
      <c r="O723" s="950"/>
      <c r="P723" s="950"/>
      <c r="Q723" s="1419"/>
      <c r="R723" s="1419"/>
      <c r="S723" s="1419"/>
      <c r="T723" s="1419"/>
      <c r="U723" s="1419"/>
      <c r="V723" s="1419"/>
      <c r="W723" s="1419"/>
      <c r="X723" s="1419"/>
      <c r="Y723" s="1419"/>
      <c r="Z723" s="1419"/>
    </row>
    <row r="724" spans="1:26" ht="18.75" hidden="1">
      <c r="A724" s="1567"/>
      <c r="B724" s="1418"/>
      <c r="C724" s="1418"/>
      <c r="D724" s="1418"/>
      <c r="E724" s="1418"/>
      <c r="F724" s="1418"/>
      <c r="G724" s="1103"/>
      <c r="H724" s="1097" t="s">
        <v>34</v>
      </c>
      <c r="I724" s="1579"/>
      <c r="J724" s="949">
        <f ca="1">IFERROR(__xludf.DUMMYFUNCTION("IMPORTRANGE(""https://docs.google.com/spreadsheets/d/1XWAQStnk-4SwqDmLtmXYiTMKHgktTP8We1SCoS47DrQ/edit?usp=sharing"",""จัดที่ดิน!BN62"")"),0)</f>
        <v>0</v>
      </c>
      <c r="K724" s="950"/>
      <c r="L724" s="1580"/>
      <c r="M724" s="1103"/>
      <c r="N724" s="1580"/>
      <c r="O724" s="950"/>
      <c r="P724" s="950"/>
      <c r="Q724" s="1419"/>
      <c r="R724" s="1419"/>
      <c r="S724" s="1419"/>
      <c r="T724" s="1419"/>
      <c r="U724" s="1419"/>
      <c r="V724" s="1419"/>
      <c r="W724" s="1419"/>
      <c r="X724" s="1419"/>
      <c r="Y724" s="1419"/>
      <c r="Z724" s="1419"/>
    </row>
    <row r="725" spans="1:26" ht="18.75" hidden="1">
      <c r="A725" s="1567"/>
      <c r="B725" s="1418"/>
      <c r="C725" s="1418"/>
      <c r="D725" s="1418"/>
      <c r="E725" s="1418"/>
      <c r="F725" s="1418"/>
      <c r="G725" s="1103"/>
      <c r="H725" s="1097" t="s">
        <v>46</v>
      </c>
      <c r="I725" s="1579">
        <f ca="1">IFERROR(__xludf.DUMMYFUNCTION("IMPORTRANGE(""https://docs.google.com/spreadsheets/d/1QqKyyYR6Q21VydFLVH3TRQUabQu_ym0Zz7PgGX0-kHA/edit?usp=sharing"",""แผน!IM62"")"),0)</f>
        <v>0</v>
      </c>
      <c r="J725" s="949">
        <f ca="1">IFERROR(__xludf.DUMMYFUNCTION("IMPORTRANGE(""https://docs.google.com/spreadsheets/d/1XWAQStnk-4SwqDmLtmXYiTMKHgktTP8We1SCoS47DrQ/edit?usp=sharing"",""จัดที่ดิน!BO62"")"),0)</f>
        <v>0</v>
      </c>
      <c r="K725" s="950">
        <f t="shared" ref="K725:K726" ca="1" si="292">IF(I725&gt;0,J725*100/I725,0)</f>
        <v>0</v>
      </c>
      <c r="L725" s="1580"/>
      <c r="M725" s="1103"/>
      <c r="N725" s="1580"/>
      <c r="O725" s="950"/>
      <c r="P725" s="950"/>
      <c r="Q725" s="1419"/>
      <c r="R725" s="1419"/>
      <c r="S725" s="1419"/>
      <c r="T725" s="1419"/>
      <c r="U725" s="1419"/>
      <c r="V725" s="1419"/>
      <c r="W725" s="1419"/>
      <c r="X725" s="1419"/>
      <c r="Y725" s="1419"/>
      <c r="Z725" s="1419"/>
    </row>
    <row r="726" spans="1:26" ht="18.75" hidden="1">
      <c r="A726" s="1567"/>
      <c r="B726" s="1418"/>
      <c r="C726" s="1418"/>
      <c r="D726" s="1418"/>
      <c r="E726" s="1418" t="s">
        <v>308</v>
      </c>
      <c r="F726" s="1418"/>
      <c r="G726" s="1103"/>
      <c r="H726" s="1097" t="s">
        <v>35</v>
      </c>
      <c r="I726" s="1579">
        <f ca="1">IFERROR(__xludf.DUMMYFUNCTION("IMPORTRANGE(""https://docs.google.com/spreadsheets/d/1QqKyyYR6Q21VydFLVH3TRQUabQu_ym0Zz7PgGX0-kHA/edit?usp=sharing"",""แผน!IN62"")"),0)</f>
        <v>0</v>
      </c>
      <c r="J726" s="949">
        <f ca="1">IFERROR(__xludf.DUMMYFUNCTION("IMPORTRANGE(""https://docs.google.com/spreadsheets/d/1XWAQStnk-4SwqDmLtmXYiTMKHgktTP8We1SCoS47DrQ/edit?usp=sharing"",""จัดที่ดิน!BR62"")"),0)</f>
        <v>0</v>
      </c>
      <c r="K726" s="950">
        <f t="shared" ca="1" si="292"/>
        <v>0</v>
      </c>
      <c r="L726" s="950"/>
      <c r="M726" s="1103"/>
      <c r="N726" s="1580"/>
      <c r="O726" s="950"/>
      <c r="P726" s="950"/>
      <c r="Q726" s="1419"/>
      <c r="R726" s="1419"/>
      <c r="S726" s="1419"/>
      <c r="T726" s="1419"/>
      <c r="U726" s="1419"/>
      <c r="V726" s="1419"/>
      <c r="W726" s="1419"/>
      <c r="X726" s="1419"/>
      <c r="Y726" s="1419"/>
      <c r="Z726" s="1419"/>
    </row>
    <row r="727" spans="1:26" ht="18.75" hidden="1">
      <c r="A727" s="1567"/>
      <c r="B727" s="1418"/>
      <c r="C727" s="1418"/>
      <c r="D727" s="1418"/>
      <c r="E727" s="1418"/>
      <c r="F727" s="1418"/>
      <c r="G727" s="1103"/>
      <c r="H727" s="1097" t="s">
        <v>34</v>
      </c>
      <c r="I727" s="1579"/>
      <c r="J727" s="949">
        <f ca="1">IFERROR(__xludf.DUMMYFUNCTION("IMPORTRANGE(""https://docs.google.com/spreadsheets/d/1XWAQStnk-4SwqDmLtmXYiTMKHgktTP8We1SCoS47DrQ/edit?usp=sharing"",""จัดที่ดิน!BS62"")"),0)</f>
        <v>0</v>
      </c>
      <c r="K727" s="950"/>
      <c r="L727" s="1580"/>
      <c r="M727" s="1103"/>
      <c r="N727" s="1580"/>
      <c r="O727" s="950"/>
      <c r="P727" s="950"/>
      <c r="Q727" s="1419"/>
      <c r="R727" s="1419"/>
      <c r="S727" s="1419"/>
      <c r="T727" s="1419"/>
      <c r="U727" s="1419"/>
      <c r="V727" s="1419"/>
      <c r="W727" s="1419"/>
      <c r="X727" s="1419"/>
      <c r="Y727" s="1419"/>
      <c r="Z727" s="1419"/>
    </row>
    <row r="728" spans="1:26" ht="18.75" hidden="1">
      <c r="A728" s="1567"/>
      <c r="B728" s="1418"/>
      <c r="C728" s="1418"/>
      <c r="D728" s="1418"/>
      <c r="E728" s="1418"/>
      <c r="F728" s="1418"/>
      <c r="G728" s="1103"/>
      <c r="H728" s="1097" t="s">
        <v>46</v>
      </c>
      <c r="I728" s="1579">
        <f ca="1">IFERROR(__xludf.DUMMYFUNCTION("IMPORTRANGE(""https://docs.google.com/spreadsheets/d/1QqKyyYR6Q21VydFLVH3TRQUabQu_ym0Zz7PgGX0-kHA/edit?usp=sharing"",""แผน!IO62"")"),0)</f>
        <v>0</v>
      </c>
      <c r="J728" s="949">
        <f ca="1">IFERROR(__xludf.DUMMYFUNCTION("IMPORTRANGE(""https://docs.google.com/spreadsheets/d/1XWAQStnk-4SwqDmLtmXYiTMKHgktTP8We1SCoS47DrQ/edit?usp=sharing"",""จัดที่ดิน!BT62"")"),0)</f>
        <v>0</v>
      </c>
      <c r="K728" s="950">
        <f t="shared" ref="K728:K729" ca="1" si="293">IF(I728&gt;0,J728*100/I728,0)</f>
        <v>0</v>
      </c>
      <c r="L728" s="1580"/>
      <c r="M728" s="1103"/>
      <c r="N728" s="1580"/>
      <c r="O728" s="950"/>
      <c r="P728" s="950"/>
      <c r="Q728" s="1419"/>
      <c r="R728" s="1419"/>
      <c r="S728" s="1419"/>
      <c r="T728" s="1419"/>
      <c r="U728" s="1419"/>
      <c r="V728" s="1419"/>
      <c r="W728" s="1419"/>
      <c r="X728" s="1419"/>
      <c r="Y728" s="1419"/>
      <c r="Z728" s="1419"/>
    </row>
    <row r="729" spans="1:26" ht="19.5" hidden="1">
      <c r="A729" s="1567"/>
      <c r="B729" s="1418"/>
      <c r="C729" s="1418"/>
      <c r="D729" s="1418" t="s">
        <v>309</v>
      </c>
      <c r="E729" s="1418"/>
      <c r="F729" s="1418"/>
      <c r="G729" s="1103"/>
      <c r="H729" s="1105" t="s">
        <v>46</v>
      </c>
      <c r="I729" s="1581">
        <f ca="1">IFERROR(__xludf.DUMMYFUNCTION("IMPORTRANGE(""https://docs.google.com/spreadsheets/d/1QqKyyYR6Q21VydFLVH3TRQUabQu_ym0Zz7PgGX0-kHA/edit?usp=sharing"",""แผน!IP62"")"),0)</f>
        <v>0</v>
      </c>
      <c r="J729" s="1107">
        <f>J732+J735</f>
        <v>0</v>
      </c>
      <c r="K729" s="1108">
        <f t="shared" ca="1" si="293"/>
        <v>0</v>
      </c>
      <c r="L729" s="950"/>
      <c r="M729" s="1103"/>
      <c r="N729" s="1580"/>
      <c r="O729" s="950"/>
      <c r="P729" s="950"/>
      <c r="Q729" s="1419"/>
      <c r="R729" s="1419"/>
      <c r="S729" s="1419"/>
      <c r="T729" s="1419"/>
      <c r="U729" s="1419"/>
      <c r="V729" s="1419"/>
      <c r="W729" s="1419"/>
      <c r="X729" s="1419"/>
      <c r="Y729" s="1419"/>
      <c r="Z729" s="1419"/>
    </row>
    <row r="730" spans="1:26" ht="18.75" hidden="1">
      <c r="A730" s="1567"/>
      <c r="B730" s="1418"/>
      <c r="C730" s="1418"/>
      <c r="D730" s="1418"/>
      <c r="E730" s="1418" t="s">
        <v>310</v>
      </c>
      <c r="F730" s="1418"/>
      <c r="G730" s="1103"/>
      <c r="H730" s="1097" t="s">
        <v>35</v>
      </c>
      <c r="I730" s="1579"/>
      <c r="J730" s="1098">
        <v>0</v>
      </c>
      <c r="K730" s="950"/>
      <c r="L730" s="1580"/>
      <c r="M730" s="950"/>
      <c r="N730" s="1580"/>
      <c r="O730" s="950"/>
      <c r="P730" s="950"/>
      <c r="Q730" s="1419"/>
      <c r="R730" s="1419"/>
      <c r="S730" s="1419"/>
      <c r="T730" s="1419"/>
      <c r="U730" s="1419"/>
      <c r="V730" s="1419"/>
      <c r="W730" s="1419"/>
      <c r="X730" s="1419"/>
      <c r="Y730" s="1419"/>
      <c r="Z730" s="1419"/>
    </row>
    <row r="731" spans="1:26" ht="18.75" hidden="1">
      <c r="A731" s="1567"/>
      <c r="B731" s="1418"/>
      <c r="C731" s="1418"/>
      <c r="D731" s="1418"/>
      <c r="E731" s="1418"/>
      <c r="F731" s="1418"/>
      <c r="G731" s="1103"/>
      <c r="H731" s="1097" t="s">
        <v>34</v>
      </c>
      <c r="I731" s="1579"/>
      <c r="J731" s="1098">
        <v>0</v>
      </c>
      <c r="K731" s="950"/>
      <c r="L731" s="1580"/>
      <c r="M731" s="950"/>
      <c r="N731" s="1580"/>
      <c r="O731" s="950"/>
      <c r="P731" s="950"/>
      <c r="Q731" s="1419"/>
      <c r="R731" s="1419"/>
      <c r="S731" s="1419"/>
      <c r="T731" s="1419"/>
      <c r="U731" s="1419"/>
      <c r="V731" s="1419"/>
      <c r="W731" s="1419"/>
      <c r="X731" s="1419"/>
      <c r="Y731" s="1419"/>
      <c r="Z731" s="1419"/>
    </row>
    <row r="732" spans="1:26" ht="18.75" hidden="1">
      <c r="A732" s="1567"/>
      <c r="B732" s="1418"/>
      <c r="C732" s="1418"/>
      <c r="D732" s="1418"/>
      <c r="E732" s="1418"/>
      <c r="F732" s="1418"/>
      <c r="G732" s="1103"/>
      <c r="H732" s="1097" t="s">
        <v>46</v>
      </c>
      <c r="I732" s="1579"/>
      <c r="J732" s="1098">
        <v>0</v>
      </c>
      <c r="K732" s="950"/>
      <c r="L732" s="1580"/>
      <c r="M732" s="950"/>
      <c r="N732" s="1580"/>
      <c r="O732" s="950"/>
      <c r="P732" s="950"/>
      <c r="Q732" s="1419"/>
      <c r="R732" s="1419"/>
      <c r="S732" s="1419"/>
      <c r="T732" s="1419"/>
      <c r="U732" s="1419"/>
      <c r="V732" s="1419"/>
      <c r="W732" s="1419"/>
      <c r="X732" s="1419"/>
      <c r="Y732" s="1419"/>
      <c r="Z732" s="1419"/>
    </row>
    <row r="733" spans="1:26" ht="18.75" hidden="1">
      <c r="A733" s="1567"/>
      <c r="B733" s="1418"/>
      <c r="C733" s="1418"/>
      <c r="D733" s="1418"/>
      <c r="E733" s="1418" t="s">
        <v>311</v>
      </c>
      <c r="F733" s="1418"/>
      <c r="G733" s="1103"/>
      <c r="H733" s="1097" t="s">
        <v>35</v>
      </c>
      <c r="I733" s="1579"/>
      <c r="J733" s="1098">
        <v>0</v>
      </c>
      <c r="K733" s="950"/>
      <c r="L733" s="1580"/>
      <c r="M733" s="950"/>
      <c r="N733" s="1580"/>
      <c r="O733" s="950"/>
      <c r="P733" s="950"/>
      <c r="Q733" s="1419"/>
      <c r="R733" s="1419"/>
      <c r="S733" s="1419"/>
      <c r="T733" s="1419"/>
      <c r="U733" s="1419"/>
      <c r="V733" s="1419"/>
      <c r="W733" s="1419"/>
      <c r="X733" s="1419"/>
      <c r="Y733" s="1419"/>
      <c r="Z733" s="1419"/>
    </row>
    <row r="734" spans="1:26" ht="18.75" hidden="1">
      <c r="A734" s="1567"/>
      <c r="B734" s="1418"/>
      <c r="C734" s="1418"/>
      <c r="D734" s="1418"/>
      <c r="E734" s="1418"/>
      <c r="F734" s="1418"/>
      <c r="G734" s="1103"/>
      <c r="H734" s="1097" t="s">
        <v>34</v>
      </c>
      <c r="I734" s="1579"/>
      <c r="J734" s="1098">
        <v>0</v>
      </c>
      <c r="K734" s="950"/>
      <c r="L734" s="1580"/>
      <c r="M734" s="950"/>
      <c r="N734" s="1580"/>
      <c r="O734" s="950"/>
      <c r="P734" s="950"/>
      <c r="Q734" s="1419"/>
      <c r="R734" s="1419"/>
      <c r="S734" s="1419"/>
      <c r="T734" s="1419"/>
      <c r="U734" s="1419"/>
      <c r="V734" s="1419"/>
      <c r="W734" s="1419"/>
      <c r="X734" s="1419"/>
      <c r="Y734" s="1419"/>
      <c r="Z734" s="1419"/>
    </row>
    <row r="735" spans="1:26" ht="19.5" hidden="1">
      <c r="A735" s="1582"/>
      <c r="B735" s="1583" t="s">
        <v>312</v>
      </c>
      <c r="C735" s="1276"/>
      <c r="D735" s="1276"/>
      <c r="E735" s="1276"/>
      <c r="F735" s="1276"/>
      <c r="G735" s="1558"/>
      <c r="H735" s="1277" t="s">
        <v>46</v>
      </c>
      <c r="I735" s="1584"/>
      <c r="J735" s="1279">
        <v>0</v>
      </c>
      <c r="K735" s="1349"/>
      <c r="L735" s="1585"/>
      <c r="M735" s="1349"/>
      <c r="N735" s="1585"/>
      <c r="O735" s="1349"/>
      <c r="P735" s="1349"/>
      <c r="Q735" s="1419"/>
      <c r="R735" s="1419"/>
      <c r="S735" s="1419"/>
      <c r="T735" s="1419"/>
      <c r="U735" s="1419"/>
      <c r="V735" s="1419"/>
      <c r="W735" s="1419"/>
      <c r="X735" s="1419"/>
      <c r="Y735" s="1419"/>
      <c r="Z735" s="1419"/>
    </row>
    <row r="736" spans="1:26" ht="19.5" hidden="1">
      <c r="A736" s="1586">
        <v>9</v>
      </c>
      <c r="B736" s="1587" t="s">
        <v>313</v>
      </c>
      <c r="C736" s="1588"/>
      <c r="D736" s="1588"/>
      <c r="E736" s="1588"/>
      <c r="F736" s="1588"/>
      <c r="G736" s="1589"/>
      <c r="H736" s="1590" t="s">
        <v>46</v>
      </c>
      <c r="I736" s="1591"/>
      <c r="J736" s="1591">
        <f>J751</f>
        <v>0</v>
      </c>
      <c r="K736" s="1592">
        <f>IF(I736&gt;0,J736*100/I736,0)</f>
        <v>0</v>
      </c>
      <c r="L736" s="1593"/>
      <c r="M736" s="1593"/>
      <c r="N736" s="1593"/>
      <c r="O736" s="1593"/>
      <c r="P736" s="1593"/>
      <c r="Q736" s="1445"/>
      <c r="R736" s="1445"/>
      <c r="S736" s="1445"/>
      <c r="T736" s="1445"/>
      <c r="U736" s="1445"/>
      <c r="V736" s="1445"/>
      <c r="W736" s="1445"/>
      <c r="X736" s="1445"/>
      <c r="Y736" s="1445"/>
      <c r="Z736" s="1445"/>
    </row>
    <row r="737" spans="1:26" ht="19.5" hidden="1">
      <c r="A737" s="1441"/>
      <c r="B737" s="1442"/>
      <c r="C737" s="1442" t="s">
        <v>16</v>
      </c>
      <c r="D737" s="1476" t="s">
        <v>17</v>
      </c>
      <c r="E737" s="987"/>
      <c r="F737" s="987"/>
      <c r="G737" s="1444"/>
      <c r="H737" s="1477" t="s">
        <v>12</v>
      </c>
      <c r="I737" s="956"/>
      <c r="J737" s="956"/>
      <c r="K737" s="957"/>
      <c r="L737" s="1478">
        <f t="shared" ref="L737:N737" si="294">L738+L739</f>
        <v>0</v>
      </c>
      <c r="M737" s="1478">
        <f t="shared" si="294"/>
        <v>0</v>
      </c>
      <c r="N737" s="1478">
        <f t="shared" si="294"/>
        <v>0</v>
      </c>
      <c r="O737" s="1478">
        <f t="shared" ref="O737:O742" si="295">IF(L737&gt;0,N737*100/L737,0)</f>
        <v>0</v>
      </c>
      <c r="P737" s="1478">
        <f t="shared" ref="P737:P742" si="296">IF(M737&gt;0,N737*100/M737,0)</f>
        <v>0</v>
      </c>
      <c r="Q737" s="1445"/>
      <c r="R737" s="1445"/>
      <c r="S737" s="1445"/>
      <c r="T737" s="1445"/>
      <c r="U737" s="1445"/>
      <c r="V737" s="1445"/>
      <c r="W737" s="1445"/>
      <c r="X737" s="1445"/>
      <c r="Y737" s="1445"/>
      <c r="Z737" s="1445"/>
    </row>
    <row r="738" spans="1:26" ht="18.75" hidden="1">
      <c r="A738" s="1441"/>
      <c r="B738" s="1442"/>
      <c r="C738" s="1442"/>
      <c r="D738" s="1443"/>
      <c r="E738" s="1442" t="s">
        <v>185</v>
      </c>
      <c r="F738" s="1442"/>
      <c r="G738" s="1444"/>
      <c r="H738" s="1081" t="s">
        <v>12</v>
      </c>
      <c r="I738" s="956"/>
      <c r="J738" s="956"/>
      <c r="K738" s="957"/>
      <c r="L738" s="957">
        <f t="shared" ref="L738:N739" si="297">L741+L748</f>
        <v>0</v>
      </c>
      <c r="M738" s="957">
        <f t="shared" si="297"/>
        <v>0</v>
      </c>
      <c r="N738" s="957">
        <f t="shared" si="297"/>
        <v>0</v>
      </c>
      <c r="O738" s="957">
        <f t="shared" si="295"/>
        <v>0</v>
      </c>
      <c r="P738" s="957">
        <f t="shared" si="296"/>
        <v>0</v>
      </c>
      <c r="Q738" s="1445"/>
      <c r="R738" s="1445"/>
      <c r="S738" s="1445"/>
      <c r="T738" s="1445"/>
      <c r="U738" s="1445"/>
      <c r="V738" s="1445"/>
      <c r="W738" s="1445"/>
      <c r="X738" s="1445"/>
      <c r="Y738" s="1445"/>
      <c r="Z738" s="1445"/>
    </row>
    <row r="739" spans="1:26" ht="18.75" hidden="1">
      <c r="A739" s="1441"/>
      <c r="B739" s="1446"/>
      <c r="C739" s="1442"/>
      <c r="D739" s="1443"/>
      <c r="E739" s="1442" t="s">
        <v>186</v>
      </c>
      <c r="F739" s="1442"/>
      <c r="G739" s="1444"/>
      <c r="H739" s="1081" t="s">
        <v>12</v>
      </c>
      <c r="I739" s="956"/>
      <c r="J739" s="956"/>
      <c r="K739" s="957"/>
      <c r="L739" s="957">
        <f t="shared" si="297"/>
        <v>0</v>
      </c>
      <c r="M739" s="957">
        <f t="shared" si="297"/>
        <v>0</v>
      </c>
      <c r="N739" s="957">
        <f t="shared" si="297"/>
        <v>0</v>
      </c>
      <c r="O739" s="957">
        <f t="shared" si="295"/>
        <v>0</v>
      </c>
      <c r="P739" s="957">
        <f t="shared" si="296"/>
        <v>0</v>
      </c>
      <c r="Q739" s="1445"/>
      <c r="R739" s="1445"/>
      <c r="S739" s="1445"/>
      <c r="T739" s="1445"/>
      <c r="U739" s="1445"/>
      <c r="V739" s="1445"/>
      <c r="W739" s="1445"/>
      <c r="X739" s="1445"/>
      <c r="Y739" s="1445"/>
      <c r="Z739" s="1445"/>
    </row>
    <row r="740" spans="1:26" ht="19.5" hidden="1">
      <c r="A740" s="1441"/>
      <c r="B740" s="1446"/>
      <c r="C740" s="1442"/>
      <c r="D740" s="1594" t="s">
        <v>20</v>
      </c>
      <c r="E740" s="1442"/>
      <c r="F740" s="1442"/>
      <c r="G740" s="1444"/>
      <c r="H740" s="1477" t="s">
        <v>12</v>
      </c>
      <c r="I740" s="1082"/>
      <c r="J740" s="1082"/>
      <c r="K740" s="1083"/>
      <c r="L740" s="1478">
        <f t="shared" ref="L740:N740" si="298">L741+L742</f>
        <v>0</v>
      </c>
      <c r="M740" s="1478">
        <f t="shared" si="298"/>
        <v>0</v>
      </c>
      <c r="N740" s="1478">
        <f t="shared" si="298"/>
        <v>0</v>
      </c>
      <c r="O740" s="1478">
        <f t="shared" si="295"/>
        <v>0</v>
      </c>
      <c r="P740" s="1478">
        <f t="shared" si="296"/>
        <v>0</v>
      </c>
      <c r="Q740" s="1445"/>
      <c r="R740" s="1445"/>
      <c r="S740" s="1445"/>
      <c r="T740" s="1445"/>
      <c r="U740" s="1445"/>
      <c r="V740" s="1445"/>
      <c r="W740" s="1445"/>
      <c r="X740" s="1445"/>
      <c r="Y740" s="1445"/>
      <c r="Z740" s="1445"/>
    </row>
    <row r="741" spans="1:26" ht="18.75" hidden="1">
      <c r="A741" s="1441"/>
      <c r="B741" s="1446"/>
      <c r="C741" s="1442"/>
      <c r="D741" s="1443"/>
      <c r="E741" s="1442" t="s">
        <v>185</v>
      </c>
      <c r="F741" s="1442"/>
      <c r="G741" s="1444"/>
      <c r="H741" s="1081" t="s">
        <v>12</v>
      </c>
      <c r="I741" s="956"/>
      <c r="J741" s="956"/>
      <c r="K741" s="957"/>
      <c r="L741" s="957">
        <v>0</v>
      </c>
      <c r="M741" s="957">
        <v>0</v>
      </c>
      <c r="N741" s="957">
        <v>0</v>
      </c>
      <c r="O741" s="957">
        <f t="shared" si="295"/>
        <v>0</v>
      </c>
      <c r="P741" s="957">
        <f t="shared" si="296"/>
        <v>0</v>
      </c>
      <c r="Q741" s="1445"/>
      <c r="R741" s="1445"/>
      <c r="S741" s="1445"/>
      <c r="T741" s="1445"/>
      <c r="U741" s="1445"/>
      <c r="V741" s="1445"/>
      <c r="W741" s="1445"/>
      <c r="X741" s="1445"/>
      <c r="Y741" s="1445"/>
      <c r="Z741" s="1445"/>
    </row>
    <row r="742" spans="1:26" ht="18.75" hidden="1">
      <c r="A742" s="1441"/>
      <c r="B742" s="1446"/>
      <c r="C742" s="1442"/>
      <c r="D742" s="1443"/>
      <c r="E742" s="1442" t="s">
        <v>186</v>
      </c>
      <c r="F742" s="1442"/>
      <c r="G742" s="1444"/>
      <c r="H742" s="1081" t="s">
        <v>12</v>
      </c>
      <c r="I742" s="956"/>
      <c r="J742" s="956"/>
      <c r="K742" s="957"/>
      <c r="L742" s="957">
        <v>0</v>
      </c>
      <c r="M742" s="957">
        <v>0</v>
      </c>
      <c r="N742" s="957">
        <f>N743+N744+N745+N746</f>
        <v>0</v>
      </c>
      <c r="O742" s="957">
        <f t="shared" si="295"/>
        <v>0</v>
      </c>
      <c r="P742" s="957">
        <f t="shared" si="296"/>
        <v>0</v>
      </c>
      <c r="Q742" s="1445"/>
      <c r="R742" s="1445"/>
      <c r="S742" s="1445"/>
      <c r="T742" s="1445"/>
      <c r="U742" s="1445"/>
      <c r="V742" s="1445"/>
      <c r="W742" s="1445"/>
      <c r="X742" s="1445"/>
      <c r="Y742" s="1445"/>
      <c r="Z742" s="1445"/>
    </row>
    <row r="743" spans="1:26" ht="18.75" hidden="1">
      <c r="A743" s="1480"/>
      <c r="B743" s="1446"/>
      <c r="C743" s="1442"/>
      <c r="D743" s="1442"/>
      <c r="E743" s="1442"/>
      <c r="F743" s="1442" t="s">
        <v>187</v>
      </c>
      <c r="G743" s="1444"/>
      <c r="H743" s="1081" t="s">
        <v>12</v>
      </c>
      <c r="I743" s="956"/>
      <c r="J743" s="956"/>
      <c r="K743" s="957"/>
      <c r="L743" s="957"/>
      <c r="M743" s="957"/>
      <c r="N743" s="957"/>
      <c r="O743" s="957"/>
      <c r="P743" s="957"/>
      <c r="Q743" s="1445"/>
      <c r="R743" s="1445"/>
      <c r="S743" s="1445"/>
      <c r="T743" s="1445"/>
      <c r="U743" s="1445"/>
      <c r="V743" s="1445"/>
      <c r="W743" s="1445"/>
      <c r="X743" s="1445"/>
      <c r="Y743" s="1445"/>
      <c r="Z743" s="1445"/>
    </row>
    <row r="744" spans="1:26" ht="18.75" hidden="1">
      <c r="A744" s="1480"/>
      <c r="B744" s="1446"/>
      <c r="C744" s="1442"/>
      <c r="D744" s="1442"/>
      <c r="E744" s="1442"/>
      <c r="F744" s="1442" t="s">
        <v>188</v>
      </c>
      <c r="G744" s="1444"/>
      <c r="H744" s="1081" t="s">
        <v>12</v>
      </c>
      <c r="I744" s="956"/>
      <c r="J744" s="956"/>
      <c r="K744" s="957"/>
      <c r="L744" s="957"/>
      <c r="M744" s="957"/>
      <c r="N744" s="957"/>
      <c r="O744" s="957"/>
      <c r="P744" s="957"/>
      <c r="Q744" s="1445"/>
      <c r="R744" s="1445"/>
      <c r="S744" s="1445"/>
      <c r="T744" s="1445"/>
      <c r="U744" s="1445"/>
      <c r="V744" s="1445"/>
      <c r="W744" s="1445"/>
      <c r="X744" s="1445"/>
      <c r="Y744" s="1445"/>
      <c r="Z744" s="1445"/>
    </row>
    <row r="745" spans="1:26" ht="18.75" hidden="1">
      <c r="A745" s="1480"/>
      <c r="B745" s="1446"/>
      <c r="C745" s="1442"/>
      <c r="D745" s="1442"/>
      <c r="E745" s="1442"/>
      <c r="F745" s="1442" t="s">
        <v>189</v>
      </c>
      <c r="G745" s="1444"/>
      <c r="H745" s="1081" t="s">
        <v>12</v>
      </c>
      <c r="I745" s="956"/>
      <c r="J745" s="956"/>
      <c r="K745" s="957"/>
      <c r="L745" s="957"/>
      <c r="M745" s="957"/>
      <c r="N745" s="957"/>
      <c r="O745" s="957"/>
      <c r="P745" s="957"/>
      <c r="Q745" s="1445"/>
      <c r="R745" s="1445"/>
      <c r="S745" s="1445"/>
      <c r="T745" s="1445"/>
      <c r="U745" s="1445"/>
      <c r="V745" s="1445"/>
      <c r="W745" s="1445"/>
      <c r="X745" s="1445"/>
      <c r="Y745" s="1445"/>
      <c r="Z745" s="1445"/>
    </row>
    <row r="746" spans="1:26" ht="18.75" hidden="1">
      <c r="A746" s="1480"/>
      <c r="B746" s="1446"/>
      <c r="C746" s="1442"/>
      <c r="D746" s="1442"/>
      <c r="E746" s="1442"/>
      <c r="F746" s="1442" t="s">
        <v>190</v>
      </c>
      <c r="G746" s="1444"/>
      <c r="H746" s="1081" t="s">
        <v>12</v>
      </c>
      <c r="I746" s="956"/>
      <c r="J746" s="956"/>
      <c r="K746" s="957"/>
      <c r="L746" s="957"/>
      <c r="M746" s="957"/>
      <c r="N746" s="957"/>
      <c r="O746" s="957"/>
      <c r="P746" s="957"/>
      <c r="Q746" s="1445"/>
      <c r="R746" s="1445"/>
      <c r="S746" s="1445"/>
      <c r="T746" s="1445"/>
      <c r="U746" s="1445"/>
      <c r="V746" s="1445"/>
      <c r="W746" s="1445"/>
      <c r="X746" s="1445"/>
      <c r="Y746" s="1445"/>
      <c r="Z746" s="1445"/>
    </row>
    <row r="747" spans="1:26" ht="19.5" hidden="1">
      <c r="A747" s="1441"/>
      <c r="B747" s="1446"/>
      <c r="C747" s="1442"/>
      <c r="D747" s="1594" t="s">
        <v>21</v>
      </c>
      <c r="E747" s="1442"/>
      <c r="F747" s="1442"/>
      <c r="G747" s="1444"/>
      <c r="H747" s="1595" t="s">
        <v>12</v>
      </c>
      <c r="I747" s="1082"/>
      <c r="J747" s="1082"/>
      <c r="K747" s="1083"/>
      <c r="L747" s="1478">
        <f t="shared" ref="L747:N747" si="299">L748+L749</f>
        <v>0</v>
      </c>
      <c r="M747" s="1478">
        <f t="shared" si="299"/>
        <v>0</v>
      </c>
      <c r="N747" s="1478">
        <f t="shared" si="299"/>
        <v>0</v>
      </c>
      <c r="O747" s="1478">
        <f t="shared" ref="O747:O749" si="300">IF(L747&gt;0,N747*100/L747,0)</f>
        <v>0</v>
      </c>
      <c r="P747" s="1478">
        <f t="shared" ref="P747:P749" si="301">IF(M747&gt;0,N747*100/M747,0)</f>
        <v>0</v>
      </c>
      <c r="Q747" s="1445"/>
      <c r="R747" s="1445"/>
      <c r="S747" s="1445"/>
      <c r="T747" s="1445"/>
      <c r="U747" s="1445"/>
      <c r="V747" s="1445"/>
      <c r="W747" s="1445"/>
      <c r="X747" s="1445"/>
      <c r="Y747" s="1445"/>
      <c r="Z747" s="1445"/>
    </row>
    <row r="748" spans="1:26" ht="18.75" hidden="1">
      <c r="A748" s="1441"/>
      <c r="B748" s="1446"/>
      <c r="C748" s="1442"/>
      <c r="D748" s="1442"/>
      <c r="E748" s="1442" t="s">
        <v>18</v>
      </c>
      <c r="F748" s="1442"/>
      <c r="G748" s="1444"/>
      <c r="H748" s="1081" t="s">
        <v>12</v>
      </c>
      <c r="I748" s="1082"/>
      <c r="J748" s="1082"/>
      <c r="K748" s="1083"/>
      <c r="L748" s="957">
        <v>0</v>
      </c>
      <c r="M748" s="957">
        <v>0</v>
      </c>
      <c r="N748" s="957">
        <v>0</v>
      </c>
      <c r="O748" s="957">
        <f t="shared" si="300"/>
        <v>0</v>
      </c>
      <c r="P748" s="957">
        <f t="shared" si="301"/>
        <v>0</v>
      </c>
      <c r="Q748" s="1445"/>
      <c r="R748" s="1445"/>
      <c r="S748" s="1445"/>
      <c r="T748" s="1445"/>
      <c r="U748" s="1445"/>
      <c r="V748" s="1445"/>
      <c r="W748" s="1445"/>
      <c r="X748" s="1445"/>
      <c r="Y748" s="1445"/>
      <c r="Z748" s="1445"/>
    </row>
    <row r="749" spans="1:26" ht="18.75" hidden="1">
      <c r="A749" s="1441"/>
      <c r="B749" s="1446"/>
      <c r="C749" s="1442"/>
      <c r="D749" s="1442"/>
      <c r="E749" s="1442" t="s">
        <v>19</v>
      </c>
      <c r="F749" s="1442"/>
      <c r="G749" s="1444"/>
      <c r="H749" s="1085" t="s">
        <v>12</v>
      </c>
      <c r="I749" s="1082"/>
      <c r="J749" s="1082"/>
      <c r="K749" s="1083"/>
      <c r="L749" s="957">
        <v>0</v>
      </c>
      <c r="M749" s="957">
        <v>0</v>
      </c>
      <c r="N749" s="957">
        <v>0</v>
      </c>
      <c r="O749" s="957">
        <f t="shared" si="300"/>
        <v>0</v>
      </c>
      <c r="P749" s="957">
        <f t="shared" si="301"/>
        <v>0</v>
      </c>
      <c r="Q749" s="1445"/>
      <c r="R749" s="1445"/>
      <c r="S749" s="1445"/>
      <c r="T749" s="1445"/>
      <c r="U749" s="1445"/>
      <c r="V749" s="1445"/>
      <c r="W749" s="1445"/>
      <c r="X749" s="1445"/>
      <c r="Y749" s="1445"/>
      <c r="Z749" s="1445"/>
    </row>
    <row r="750" spans="1:26" ht="19.5" hidden="1">
      <c r="A750" s="1454"/>
      <c r="B750" s="1455"/>
      <c r="C750" s="1442" t="s">
        <v>16</v>
      </c>
      <c r="D750" s="1596" t="s">
        <v>38</v>
      </c>
      <c r="E750" s="1482"/>
      <c r="F750" s="1482"/>
      <c r="G750" s="1483"/>
      <c r="H750" s="1216"/>
      <c r="I750" s="1082"/>
      <c r="J750" s="1082"/>
      <c r="K750" s="1083"/>
      <c r="L750" s="1083"/>
      <c r="M750" s="1083"/>
      <c r="N750" s="1083"/>
      <c r="O750" s="1083"/>
      <c r="P750" s="1083"/>
      <c r="Q750" s="1445"/>
      <c r="R750" s="1445"/>
      <c r="S750" s="1445"/>
      <c r="T750" s="1445"/>
      <c r="U750" s="1445"/>
      <c r="V750" s="1445"/>
      <c r="W750" s="1445"/>
      <c r="X750" s="1445"/>
      <c r="Y750" s="1445"/>
      <c r="Z750" s="1445"/>
    </row>
    <row r="751" spans="1:26" ht="18.75" hidden="1">
      <c r="A751" s="1480"/>
      <c r="B751" s="1446"/>
      <c r="C751" s="1442"/>
      <c r="D751" s="1442"/>
      <c r="E751" s="1442" t="s">
        <v>314</v>
      </c>
      <c r="F751" s="1442"/>
      <c r="G751" s="1444"/>
      <c r="H751" s="1081" t="s">
        <v>46</v>
      </c>
      <c r="I751" s="956"/>
      <c r="J751" s="956"/>
      <c r="K751" s="957"/>
      <c r="L751" s="957"/>
      <c r="M751" s="957"/>
      <c r="N751" s="957"/>
      <c r="O751" s="957"/>
      <c r="P751" s="957"/>
      <c r="Q751" s="1445"/>
      <c r="R751" s="1445"/>
      <c r="S751" s="1445"/>
      <c r="T751" s="1445"/>
      <c r="U751" s="1445"/>
      <c r="V751" s="1445"/>
      <c r="W751" s="1445"/>
      <c r="X751" s="1445"/>
      <c r="Y751" s="1445"/>
      <c r="Z751" s="1445"/>
    </row>
    <row r="752" spans="1:26" ht="18.75" hidden="1">
      <c r="A752" s="1480"/>
      <c r="B752" s="1446"/>
      <c r="C752" s="1442"/>
      <c r="D752" s="1442"/>
      <c r="E752" s="1442"/>
      <c r="F752" s="1442"/>
      <c r="G752" s="1444"/>
      <c r="H752" s="1081" t="s">
        <v>315</v>
      </c>
      <c r="I752" s="956"/>
      <c r="J752" s="956"/>
      <c r="K752" s="957"/>
      <c r="L752" s="957"/>
      <c r="M752" s="957"/>
      <c r="N752" s="957"/>
      <c r="O752" s="957"/>
      <c r="P752" s="957"/>
      <c r="Q752" s="1445"/>
      <c r="R752" s="1445"/>
      <c r="S752" s="1445"/>
      <c r="T752" s="1445"/>
      <c r="U752" s="1445"/>
      <c r="V752" s="1445"/>
      <c r="W752" s="1445"/>
      <c r="X752" s="1445"/>
      <c r="Y752" s="1445"/>
      <c r="Z752" s="1445"/>
    </row>
    <row r="753" spans="1:26" ht="19.5" hidden="1">
      <c r="A753" s="1597">
        <v>10</v>
      </c>
      <c r="B753" s="1598" t="s">
        <v>316</v>
      </c>
      <c r="C753" s="1599"/>
      <c r="D753" s="1599"/>
      <c r="E753" s="1599"/>
      <c r="F753" s="1599"/>
      <c r="G753" s="1600"/>
      <c r="H753" s="1601" t="s">
        <v>46</v>
      </c>
      <c r="I753" s="1602"/>
      <c r="J753" s="1602">
        <f>J768</f>
        <v>0</v>
      </c>
      <c r="K753" s="1603">
        <f>IF(I753&gt;0,J753*100/I753,0)</f>
        <v>0</v>
      </c>
      <c r="L753" s="1604"/>
      <c r="M753" s="1604"/>
      <c r="N753" s="1604"/>
      <c r="O753" s="1604"/>
      <c r="P753" s="1604"/>
      <c r="Q753" s="1445"/>
      <c r="R753" s="1445"/>
      <c r="S753" s="1445"/>
      <c r="T753" s="1445"/>
      <c r="U753" s="1445"/>
      <c r="V753" s="1445"/>
      <c r="W753" s="1445"/>
      <c r="X753" s="1445"/>
      <c r="Y753" s="1445"/>
      <c r="Z753" s="1445"/>
    </row>
    <row r="754" spans="1:26" ht="19.5" hidden="1">
      <c r="A754" s="1441"/>
      <c r="B754" s="1442"/>
      <c r="C754" s="1442" t="s">
        <v>16</v>
      </c>
      <c r="D754" s="1476" t="s">
        <v>17</v>
      </c>
      <c r="E754" s="987"/>
      <c r="F754" s="987"/>
      <c r="G754" s="1444"/>
      <c r="H754" s="1477" t="s">
        <v>12</v>
      </c>
      <c r="I754" s="956"/>
      <c r="J754" s="956"/>
      <c r="K754" s="957"/>
      <c r="L754" s="1478">
        <f t="shared" ref="L754:N754" si="302">L755+L756</f>
        <v>0</v>
      </c>
      <c r="M754" s="1478">
        <f t="shared" si="302"/>
        <v>0</v>
      </c>
      <c r="N754" s="1478">
        <f t="shared" si="302"/>
        <v>0</v>
      </c>
      <c r="O754" s="1478">
        <f t="shared" ref="O754:O759" si="303">IF(L754&gt;0,N754*100/L754,0)</f>
        <v>0</v>
      </c>
      <c r="P754" s="1478">
        <f t="shared" ref="P754:P759" si="304">IF(M754&gt;0,N754*100/M754,0)</f>
        <v>0</v>
      </c>
      <c r="Q754" s="1445"/>
      <c r="R754" s="1445"/>
      <c r="S754" s="1445"/>
      <c r="T754" s="1445"/>
      <c r="U754" s="1445"/>
      <c r="V754" s="1445"/>
      <c r="W754" s="1445"/>
      <c r="X754" s="1445"/>
      <c r="Y754" s="1445"/>
      <c r="Z754" s="1445"/>
    </row>
    <row r="755" spans="1:26" ht="18.75" hidden="1">
      <c r="A755" s="1441"/>
      <c r="B755" s="1442"/>
      <c r="C755" s="1442"/>
      <c r="D755" s="1443"/>
      <c r="E755" s="1442" t="s">
        <v>185</v>
      </c>
      <c r="F755" s="1442"/>
      <c r="G755" s="1444"/>
      <c r="H755" s="1081" t="s">
        <v>12</v>
      </c>
      <c r="I755" s="956"/>
      <c r="J755" s="956"/>
      <c r="K755" s="957"/>
      <c r="L755" s="957">
        <f t="shared" ref="L755:N756" si="305">L758+L765</f>
        <v>0</v>
      </c>
      <c r="M755" s="957">
        <f t="shared" si="305"/>
        <v>0</v>
      </c>
      <c r="N755" s="957">
        <f t="shared" si="305"/>
        <v>0</v>
      </c>
      <c r="O755" s="957">
        <f t="shared" si="303"/>
        <v>0</v>
      </c>
      <c r="P755" s="957">
        <f t="shared" si="304"/>
        <v>0</v>
      </c>
      <c r="Q755" s="1445"/>
      <c r="R755" s="1445"/>
      <c r="S755" s="1445"/>
      <c r="T755" s="1445"/>
      <c r="U755" s="1445"/>
      <c r="V755" s="1445"/>
      <c r="W755" s="1445"/>
      <c r="X755" s="1445"/>
      <c r="Y755" s="1445"/>
      <c r="Z755" s="1445"/>
    </row>
    <row r="756" spans="1:26" ht="18.75" hidden="1">
      <c r="A756" s="1441"/>
      <c r="B756" s="1446"/>
      <c r="C756" s="1442"/>
      <c r="D756" s="1443"/>
      <c r="E756" s="1442" t="s">
        <v>186</v>
      </c>
      <c r="F756" s="1442"/>
      <c r="G756" s="1444"/>
      <c r="H756" s="1081" t="s">
        <v>12</v>
      </c>
      <c r="I756" s="956"/>
      <c r="J756" s="956"/>
      <c r="K756" s="957"/>
      <c r="L756" s="957">
        <f t="shared" si="305"/>
        <v>0</v>
      </c>
      <c r="M756" s="957">
        <f t="shared" si="305"/>
        <v>0</v>
      </c>
      <c r="N756" s="957">
        <f t="shared" si="305"/>
        <v>0</v>
      </c>
      <c r="O756" s="957">
        <f t="shared" si="303"/>
        <v>0</v>
      </c>
      <c r="P756" s="957">
        <f t="shared" si="304"/>
        <v>0</v>
      </c>
      <c r="Q756" s="1445"/>
      <c r="R756" s="1445"/>
      <c r="S756" s="1445"/>
      <c r="T756" s="1445"/>
      <c r="U756" s="1445"/>
      <c r="V756" s="1445"/>
      <c r="W756" s="1445"/>
      <c r="X756" s="1445"/>
      <c r="Y756" s="1445"/>
      <c r="Z756" s="1445"/>
    </row>
    <row r="757" spans="1:26" ht="19.5" hidden="1">
      <c r="A757" s="1441"/>
      <c r="B757" s="1446"/>
      <c r="C757" s="1442"/>
      <c r="D757" s="1594" t="s">
        <v>20</v>
      </c>
      <c r="E757" s="1442"/>
      <c r="F757" s="1442"/>
      <c r="G757" s="1444"/>
      <c r="H757" s="1477" t="s">
        <v>12</v>
      </c>
      <c r="I757" s="1082"/>
      <c r="J757" s="1082"/>
      <c r="K757" s="1083"/>
      <c r="L757" s="1478">
        <f t="shared" ref="L757:N757" si="306">L758+L759</f>
        <v>0</v>
      </c>
      <c r="M757" s="1478">
        <f t="shared" si="306"/>
        <v>0</v>
      </c>
      <c r="N757" s="1478">
        <f t="shared" si="306"/>
        <v>0</v>
      </c>
      <c r="O757" s="1478">
        <f t="shared" si="303"/>
        <v>0</v>
      </c>
      <c r="P757" s="1478">
        <f t="shared" si="304"/>
        <v>0</v>
      </c>
      <c r="Q757" s="1445"/>
      <c r="R757" s="1445"/>
      <c r="S757" s="1445"/>
      <c r="T757" s="1445"/>
      <c r="U757" s="1445"/>
      <c r="V757" s="1445"/>
      <c r="W757" s="1445"/>
      <c r="X757" s="1445"/>
      <c r="Y757" s="1445"/>
      <c r="Z757" s="1445"/>
    </row>
    <row r="758" spans="1:26" ht="18.75" hidden="1">
      <c r="A758" s="1441"/>
      <c r="B758" s="1446"/>
      <c r="C758" s="1442"/>
      <c r="D758" s="1443"/>
      <c r="E758" s="1442" t="s">
        <v>185</v>
      </c>
      <c r="F758" s="1442"/>
      <c r="G758" s="1444"/>
      <c r="H758" s="1081" t="s">
        <v>12</v>
      </c>
      <c r="I758" s="956"/>
      <c r="J758" s="956"/>
      <c r="K758" s="957"/>
      <c r="L758" s="957">
        <v>0</v>
      </c>
      <c r="M758" s="957">
        <v>0</v>
      </c>
      <c r="N758" s="957">
        <v>0</v>
      </c>
      <c r="O758" s="957">
        <f t="shared" si="303"/>
        <v>0</v>
      </c>
      <c r="P758" s="957">
        <f t="shared" si="304"/>
        <v>0</v>
      </c>
      <c r="Q758" s="1445"/>
      <c r="R758" s="1445"/>
      <c r="S758" s="1445"/>
      <c r="T758" s="1445"/>
      <c r="U758" s="1445"/>
      <c r="V758" s="1445"/>
      <c r="W758" s="1445"/>
      <c r="X758" s="1445"/>
      <c r="Y758" s="1445"/>
      <c r="Z758" s="1445"/>
    </row>
    <row r="759" spans="1:26" ht="18.75" hidden="1">
      <c r="A759" s="1441"/>
      <c r="B759" s="1446"/>
      <c r="C759" s="1442"/>
      <c r="D759" s="1443"/>
      <c r="E759" s="1442" t="s">
        <v>186</v>
      </c>
      <c r="F759" s="1442"/>
      <c r="G759" s="1444"/>
      <c r="H759" s="1081" t="s">
        <v>12</v>
      </c>
      <c r="I759" s="956"/>
      <c r="J759" s="956"/>
      <c r="K759" s="957"/>
      <c r="L759" s="957">
        <v>0</v>
      </c>
      <c r="M759" s="957">
        <v>0</v>
      </c>
      <c r="N759" s="957">
        <f>N760+N761+N762+N763</f>
        <v>0</v>
      </c>
      <c r="O759" s="957">
        <f t="shared" si="303"/>
        <v>0</v>
      </c>
      <c r="P759" s="957">
        <f t="shared" si="304"/>
        <v>0</v>
      </c>
      <c r="Q759" s="1445"/>
      <c r="R759" s="1445"/>
      <c r="S759" s="1445"/>
      <c r="T759" s="1445"/>
      <c r="U759" s="1445"/>
      <c r="V759" s="1445"/>
      <c r="W759" s="1445"/>
      <c r="X759" s="1445"/>
      <c r="Y759" s="1445"/>
      <c r="Z759" s="1445"/>
    </row>
    <row r="760" spans="1:26" ht="18.75" hidden="1">
      <c r="A760" s="1480"/>
      <c r="B760" s="1446"/>
      <c r="C760" s="1442"/>
      <c r="D760" s="1442"/>
      <c r="E760" s="1442"/>
      <c r="F760" s="1442" t="s">
        <v>187</v>
      </c>
      <c r="G760" s="1444"/>
      <c r="H760" s="1081" t="s">
        <v>12</v>
      </c>
      <c r="I760" s="956"/>
      <c r="J760" s="956"/>
      <c r="K760" s="957"/>
      <c r="L760" s="957"/>
      <c r="M760" s="957"/>
      <c r="N760" s="957"/>
      <c r="O760" s="957"/>
      <c r="P760" s="957"/>
      <c r="Q760" s="1445"/>
      <c r="R760" s="1445"/>
      <c r="S760" s="1445"/>
      <c r="T760" s="1445"/>
      <c r="U760" s="1445"/>
      <c r="V760" s="1445"/>
      <c r="W760" s="1445"/>
      <c r="X760" s="1445"/>
      <c r="Y760" s="1445"/>
      <c r="Z760" s="1445"/>
    </row>
    <row r="761" spans="1:26" ht="18.75" hidden="1">
      <c r="A761" s="1480"/>
      <c r="B761" s="1446"/>
      <c r="C761" s="1442"/>
      <c r="D761" s="1442"/>
      <c r="E761" s="1442"/>
      <c r="F761" s="1442" t="s">
        <v>188</v>
      </c>
      <c r="G761" s="1444"/>
      <c r="H761" s="1081" t="s">
        <v>12</v>
      </c>
      <c r="I761" s="956"/>
      <c r="J761" s="956"/>
      <c r="K761" s="957"/>
      <c r="L761" s="957"/>
      <c r="M761" s="957"/>
      <c r="N761" s="957"/>
      <c r="O761" s="957"/>
      <c r="P761" s="957"/>
      <c r="Q761" s="1445"/>
      <c r="R761" s="1445"/>
      <c r="S761" s="1445"/>
      <c r="T761" s="1445"/>
      <c r="U761" s="1445"/>
      <c r="V761" s="1445"/>
      <c r="W761" s="1445"/>
      <c r="X761" s="1445"/>
      <c r="Y761" s="1445"/>
      <c r="Z761" s="1445"/>
    </row>
    <row r="762" spans="1:26" ht="18.75" hidden="1">
      <c r="A762" s="1480"/>
      <c r="B762" s="1446"/>
      <c r="C762" s="1442"/>
      <c r="D762" s="1442"/>
      <c r="E762" s="1442"/>
      <c r="F762" s="1442" t="s">
        <v>189</v>
      </c>
      <c r="G762" s="1444"/>
      <c r="H762" s="1081" t="s">
        <v>12</v>
      </c>
      <c r="I762" s="956"/>
      <c r="J762" s="956"/>
      <c r="K762" s="957"/>
      <c r="L762" s="957"/>
      <c r="M762" s="957"/>
      <c r="N762" s="957"/>
      <c r="O762" s="957"/>
      <c r="P762" s="957"/>
      <c r="Q762" s="1445"/>
      <c r="R762" s="1445"/>
      <c r="S762" s="1445"/>
      <c r="T762" s="1445"/>
      <c r="U762" s="1445"/>
      <c r="V762" s="1445"/>
      <c r="W762" s="1445"/>
      <c r="X762" s="1445"/>
      <c r="Y762" s="1445"/>
      <c r="Z762" s="1445"/>
    </row>
    <row r="763" spans="1:26" ht="18.75" hidden="1">
      <c r="A763" s="1480"/>
      <c r="B763" s="1446"/>
      <c r="C763" s="1442"/>
      <c r="D763" s="1442"/>
      <c r="E763" s="1442"/>
      <c r="F763" s="1442" t="s">
        <v>190</v>
      </c>
      <c r="G763" s="1444"/>
      <c r="H763" s="1081" t="s">
        <v>12</v>
      </c>
      <c r="I763" s="956"/>
      <c r="J763" s="956"/>
      <c r="K763" s="957"/>
      <c r="L763" s="957"/>
      <c r="M763" s="957"/>
      <c r="N763" s="957"/>
      <c r="O763" s="957"/>
      <c r="P763" s="957"/>
      <c r="Q763" s="1445"/>
      <c r="R763" s="1445"/>
      <c r="S763" s="1445"/>
      <c r="T763" s="1445"/>
      <c r="U763" s="1445"/>
      <c r="V763" s="1445"/>
      <c r="W763" s="1445"/>
      <c r="X763" s="1445"/>
      <c r="Y763" s="1445"/>
      <c r="Z763" s="1445"/>
    </row>
    <row r="764" spans="1:26" ht="19.5" hidden="1">
      <c r="A764" s="1441"/>
      <c r="B764" s="1446"/>
      <c r="C764" s="1442"/>
      <c r="D764" s="1594" t="s">
        <v>21</v>
      </c>
      <c r="E764" s="1442"/>
      <c r="F764" s="1442"/>
      <c r="G764" s="1444"/>
      <c r="H764" s="1595" t="s">
        <v>12</v>
      </c>
      <c r="I764" s="1082"/>
      <c r="J764" s="1082"/>
      <c r="K764" s="1083"/>
      <c r="L764" s="1478">
        <f t="shared" ref="L764:N764" si="307">L765+L766</f>
        <v>0</v>
      </c>
      <c r="M764" s="1478">
        <f t="shared" si="307"/>
        <v>0</v>
      </c>
      <c r="N764" s="1478">
        <f t="shared" si="307"/>
        <v>0</v>
      </c>
      <c r="O764" s="1478">
        <f t="shared" ref="O764:O766" si="308">IF(L764&gt;0,N764*100/L764,0)</f>
        <v>0</v>
      </c>
      <c r="P764" s="1478">
        <f t="shared" ref="P764:P766" si="309">IF(M764&gt;0,N764*100/M764,0)</f>
        <v>0</v>
      </c>
      <c r="Q764" s="1445"/>
      <c r="R764" s="1445"/>
      <c r="S764" s="1445"/>
      <c r="T764" s="1445"/>
      <c r="U764" s="1445"/>
      <c r="V764" s="1445"/>
      <c r="W764" s="1445"/>
      <c r="X764" s="1445"/>
      <c r="Y764" s="1445"/>
      <c r="Z764" s="1445"/>
    </row>
    <row r="765" spans="1:26" ht="18.75" hidden="1">
      <c r="A765" s="1441"/>
      <c r="B765" s="1446"/>
      <c r="C765" s="1442"/>
      <c r="D765" s="1442"/>
      <c r="E765" s="1442" t="s">
        <v>18</v>
      </c>
      <c r="F765" s="1442"/>
      <c r="G765" s="1444"/>
      <c r="H765" s="1081" t="s">
        <v>12</v>
      </c>
      <c r="I765" s="1082"/>
      <c r="J765" s="1082"/>
      <c r="K765" s="1083"/>
      <c r="L765" s="957">
        <v>0</v>
      </c>
      <c r="M765" s="957">
        <v>0</v>
      </c>
      <c r="N765" s="957">
        <v>0</v>
      </c>
      <c r="O765" s="957">
        <f t="shared" si="308"/>
        <v>0</v>
      </c>
      <c r="P765" s="957">
        <f t="shared" si="309"/>
        <v>0</v>
      </c>
      <c r="Q765" s="1445"/>
      <c r="R765" s="1445"/>
      <c r="S765" s="1445"/>
      <c r="T765" s="1445"/>
      <c r="U765" s="1445"/>
      <c r="V765" s="1445"/>
      <c r="W765" s="1445"/>
      <c r="X765" s="1445"/>
      <c r="Y765" s="1445"/>
      <c r="Z765" s="1445"/>
    </row>
    <row r="766" spans="1:26" ht="18.75" hidden="1">
      <c r="A766" s="1441"/>
      <c r="B766" s="1446"/>
      <c r="C766" s="1442"/>
      <c r="D766" s="1442"/>
      <c r="E766" s="1442" t="s">
        <v>19</v>
      </c>
      <c r="F766" s="1442"/>
      <c r="G766" s="1444"/>
      <c r="H766" s="1085" t="s">
        <v>12</v>
      </c>
      <c r="I766" s="1082"/>
      <c r="J766" s="1082"/>
      <c r="K766" s="1083"/>
      <c r="L766" s="957">
        <v>0</v>
      </c>
      <c r="M766" s="957">
        <v>0</v>
      </c>
      <c r="N766" s="957">
        <v>0</v>
      </c>
      <c r="O766" s="957">
        <f t="shared" si="308"/>
        <v>0</v>
      </c>
      <c r="P766" s="957">
        <f t="shared" si="309"/>
        <v>0</v>
      </c>
      <c r="Q766" s="1445"/>
      <c r="R766" s="1445"/>
      <c r="S766" s="1445"/>
      <c r="T766" s="1445"/>
      <c r="U766" s="1445"/>
      <c r="V766" s="1445"/>
      <c r="W766" s="1445"/>
      <c r="X766" s="1445"/>
      <c r="Y766" s="1445"/>
      <c r="Z766" s="1445"/>
    </row>
    <row r="767" spans="1:26" ht="19.5" hidden="1">
      <c r="A767" s="1454"/>
      <c r="B767" s="1455"/>
      <c r="C767" s="1442" t="s">
        <v>16</v>
      </c>
      <c r="D767" s="1596" t="s">
        <v>38</v>
      </c>
      <c r="E767" s="1482"/>
      <c r="F767" s="1482"/>
      <c r="G767" s="1483"/>
      <c r="H767" s="1216"/>
      <c r="I767" s="1082"/>
      <c r="J767" s="1082"/>
      <c r="K767" s="1083"/>
      <c r="L767" s="1083"/>
      <c r="M767" s="1083"/>
      <c r="N767" s="1083"/>
      <c r="O767" s="1083"/>
      <c r="P767" s="1083"/>
      <c r="Q767" s="1445"/>
      <c r="R767" s="1445"/>
      <c r="S767" s="1445"/>
      <c r="T767" s="1445"/>
      <c r="U767" s="1445"/>
      <c r="V767" s="1445"/>
      <c r="W767" s="1445"/>
      <c r="X767" s="1445"/>
      <c r="Y767" s="1445"/>
      <c r="Z767" s="1445"/>
    </row>
    <row r="768" spans="1:26" ht="18.75" hidden="1">
      <c r="A768" s="1480"/>
      <c r="B768" s="1446"/>
      <c r="C768" s="1442"/>
      <c r="D768" s="1442"/>
      <c r="E768" s="1442" t="s">
        <v>317</v>
      </c>
      <c r="F768" s="1442"/>
      <c r="G768" s="1444"/>
      <c r="H768" s="1081" t="s">
        <v>46</v>
      </c>
      <c r="I768" s="956"/>
      <c r="J768" s="956"/>
      <c r="K768" s="957"/>
      <c r="L768" s="957"/>
      <c r="M768" s="957"/>
      <c r="N768" s="957"/>
      <c r="O768" s="957"/>
      <c r="P768" s="957"/>
      <c r="Q768" s="1445"/>
      <c r="R768" s="1445"/>
      <c r="S768" s="1445"/>
      <c r="T768" s="1445"/>
      <c r="U768" s="1445"/>
      <c r="V768" s="1445"/>
      <c r="W768" s="1445"/>
      <c r="X768" s="1445"/>
      <c r="Y768" s="1445"/>
      <c r="Z768" s="1445"/>
    </row>
    <row r="769" spans="1:26" ht="19.5" hidden="1">
      <c r="A769" s="1605">
        <v>11</v>
      </c>
      <c r="B769" s="1606" t="s">
        <v>318</v>
      </c>
      <c r="C769" s="1607"/>
      <c r="D769" s="1607"/>
      <c r="E769" s="1607"/>
      <c r="F769" s="1607"/>
      <c r="G769" s="1608"/>
      <c r="H769" s="1609" t="s">
        <v>46</v>
      </c>
      <c r="I769" s="1610"/>
      <c r="J769" s="1610">
        <f>J784</f>
        <v>0</v>
      </c>
      <c r="K769" s="1611">
        <f>IF(I769&gt;0,J769*100/I769,0)</f>
        <v>0</v>
      </c>
      <c r="L769" s="1612"/>
      <c r="M769" s="1612"/>
      <c r="N769" s="1612"/>
      <c r="O769" s="1612"/>
      <c r="P769" s="1612"/>
      <c r="Q769" s="1445"/>
      <c r="R769" s="1445"/>
      <c r="S769" s="1445"/>
      <c r="T769" s="1445"/>
      <c r="U769" s="1445"/>
      <c r="V769" s="1445"/>
      <c r="W769" s="1445"/>
      <c r="X769" s="1445"/>
      <c r="Y769" s="1445"/>
      <c r="Z769" s="1445"/>
    </row>
    <row r="770" spans="1:26" ht="19.5" hidden="1">
      <c r="A770" s="1441"/>
      <c r="B770" s="1442"/>
      <c r="C770" s="1442" t="s">
        <v>16</v>
      </c>
      <c r="D770" s="1476" t="s">
        <v>17</v>
      </c>
      <c r="E770" s="987"/>
      <c r="F770" s="987"/>
      <c r="G770" s="1444"/>
      <c r="H770" s="1477" t="s">
        <v>12</v>
      </c>
      <c r="I770" s="956"/>
      <c r="J770" s="956"/>
      <c r="K770" s="957"/>
      <c r="L770" s="1478">
        <f t="shared" ref="L770:N770" si="310">L771+L772</f>
        <v>0</v>
      </c>
      <c r="M770" s="1478">
        <f t="shared" si="310"/>
        <v>0</v>
      </c>
      <c r="N770" s="1478">
        <f t="shared" si="310"/>
        <v>0</v>
      </c>
      <c r="O770" s="1478">
        <f t="shared" ref="O770:O775" si="311">IF(L770&gt;0,N770*100/L770,0)</f>
        <v>0</v>
      </c>
      <c r="P770" s="1478">
        <f t="shared" ref="P770:P775" si="312">IF(M770&gt;0,N770*100/M770,0)</f>
        <v>0</v>
      </c>
      <c r="Q770" s="1445"/>
      <c r="R770" s="1445"/>
      <c r="S770" s="1445"/>
      <c r="T770" s="1445"/>
      <c r="U770" s="1445"/>
      <c r="V770" s="1445"/>
      <c r="W770" s="1445"/>
      <c r="X770" s="1445"/>
      <c r="Y770" s="1445"/>
      <c r="Z770" s="1445"/>
    </row>
    <row r="771" spans="1:26" ht="18.75" hidden="1">
      <c r="A771" s="1441"/>
      <c r="B771" s="1442"/>
      <c r="C771" s="1442"/>
      <c r="D771" s="1443"/>
      <c r="E771" s="1442" t="s">
        <v>185</v>
      </c>
      <c r="F771" s="1442"/>
      <c r="G771" s="1444"/>
      <c r="H771" s="1081" t="s">
        <v>12</v>
      </c>
      <c r="I771" s="956"/>
      <c r="J771" s="956"/>
      <c r="K771" s="957"/>
      <c r="L771" s="957">
        <f t="shared" ref="L771:N772" si="313">L774+L781</f>
        <v>0</v>
      </c>
      <c r="M771" s="957">
        <f t="shared" si="313"/>
        <v>0</v>
      </c>
      <c r="N771" s="957">
        <f t="shared" si="313"/>
        <v>0</v>
      </c>
      <c r="O771" s="957">
        <f t="shared" si="311"/>
        <v>0</v>
      </c>
      <c r="P771" s="957">
        <f t="shared" si="312"/>
        <v>0</v>
      </c>
      <c r="Q771" s="1445"/>
      <c r="R771" s="1445"/>
      <c r="S771" s="1445"/>
      <c r="T771" s="1445"/>
      <c r="U771" s="1445"/>
      <c r="V771" s="1445"/>
      <c r="W771" s="1445"/>
      <c r="X771" s="1445"/>
      <c r="Y771" s="1445"/>
      <c r="Z771" s="1445"/>
    </row>
    <row r="772" spans="1:26" ht="18.75" hidden="1">
      <c r="A772" s="1441"/>
      <c r="B772" s="1446"/>
      <c r="C772" s="1442"/>
      <c r="D772" s="1443"/>
      <c r="E772" s="1442" t="s">
        <v>186</v>
      </c>
      <c r="F772" s="1442"/>
      <c r="G772" s="1444"/>
      <c r="H772" s="1081" t="s">
        <v>12</v>
      </c>
      <c r="I772" s="956"/>
      <c r="J772" s="956"/>
      <c r="K772" s="957"/>
      <c r="L772" s="957">
        <f t="shared" si="313"/>
        <v>0</v>
      </c>
      <c r="M772" s="957">
        <f t="shared" si="313"/>
        <v>0</v>
      </c>
      <c r="N772" s="957">
        <f t="shared" si="313"/>
        <v>0</v>
      </c>
      <c r="O772" s="957">
        <f t="shared" si="311"/>
        <v>0</v>
      </c>
      <c r="P772" s="957">
        <f t="shared" si="312"/>
        <v>0</v>
      </c>
      <c r="Q772" s="1445"/>
      <c r="R772" s="1445"/>
      <c r="S772" s="1445"/>
      <c r="T772" s="1445"/>
      <c r="U772" s="1445"/>
      <c r="V772" s="1445"/>
      <c r="W772" s="1445"/>
      <c r="X772" s="1445"/>
      <c r="Y772" s="1445"/>
      <c r="Z772" s="1445"/>
    </row>
    <row r="773" spans="1:26" ht="19.5" hidden="1">
      <c r="A773" s="1441"/>
      <c r="B773" s="1446"/>
      <c r="C773" s="1442"/>
      <c r="D773" s="1594" t="s">
        <v>20</v>
      </c>
      <c r="E773" s="1442"/>
      <c r="F773" s="1442"/>
      <c r="G773" s="1444"/>
      <c r="H773" s="1477" t="s">
        <v>12</v>
      </c>
      <c r="I773" s="1082"/>
      <c r="J773" s="1082"/>
      <c r="K773" s="1083"/>
      <c r="L773" s="1478">
        <f t="shared" ref="L773:N773" si="314">L774+L775</f>
        <v>0</v>
      </c>
      <c r="M773" s="1478">
        <f t="shared" si="314"/>
        <v>0</v>
      </c>
      <c r="N773" s="1478">
        <f t="shared" si="314"/>
        <v>0</v>
      </c>
      <c r="O773" s="1478">
        <f t="shared" si="311"/>
        <v>0</v>
      </c>
      <c r="P773" s="1478">
        <f t="shared" si="312"/>
        <v>0</v>
      </c>
      <c r="Q773" s="1445"/>
      <c r="R773" s="1445"/>
      <c r="S773" s="1445"/>
      <c r="T773" s="1445"/>
      <c r="U773" s="1445"/>
      <c r="V773" s="1445"/>
      <c r="W773" s="1445"/>
      <c r="X773" s="1445"/>
      <c r="Y773" s="1445"/>
      <c r="Z773" s="1445"/>
    </row>
    <row r="774" spans="1:26" ht="18.75" hidden="1">
      <c r="A774" s="1441"/>
      <c r="B774" s="1446"/>
      <c r="C774" s="1442"/>
      <c r="D774" s="1443"/>
      <c r="E774" s="1442" t="s">
        <v>185</v>
      </c>
      <c r="F774" s="1442"/>
      <c r="G774" s="1444"/>
      <c r="H774" s="1081" t="s">
        <v>12</v>
      </c>
      <c r="I774" s="956"/>
      <c r="J774" s="956"/>
      <c r="K774" s="957"/>
      <c r="L774" s="957">
        <v>0</v>
      </c>
      <c r="M774" s="957">
        <v>0</v>
      </c>
      <c r="N774" s="957">
        <v>0</v>
      </c>
      <c r="O774" s="957">
        <f t="shared" si="311"/>
        <v>0</v>
      </c>
      <c r="P774" s="957">
        <f t="shared" si="312"/>
        <v>0</v>
      </c>
      <c r="Q774" s="1445"/>
      <c r="R774" s="1445"/>
      <c r="S774" s="1445"/>
      <c r="T774" s="1445"/>
      <c r="U774" s="1445"/>
      <c r="V774" s="1445"/>
      <c r="W774" s="1445"/>
      <c r="X774" s="1445"/>
      <c r="Y774" s="1445"/>
      <c r="Z774" s="1445"/>
    </row>
    <row r="775" spans="1:26" ht="18.75" hidden="1">
      <c r="A775" s="1441"/>
      <c r="B775" s="1446"/>
      <c r="C775" s="1442"/>
      <c r="D775" s="1443"/>
      <c r="E775" s="1442" t="s">
        <v>186</v>
      </c>
      <c r="F775" s="1442"/>
      <c r="G775" s="1444"/>
      <c r="H775" s="1081" t="s">
        <v>12</v>
      </c>
      <c r="I775" s="956"/>
      <c r="J775" s="956"/>
      <c r="K775" s="957"/>
      <c r="L775" s="957">
        <v>0</v>
      </c>
      <c r="M775" s="957">
        <v>0</v>
      </c>
      <c r="N775" s="957">
        <f>N776+N777+N778+N779</f>
        <v>0</v>
      </c>
      <c r="O775" s="957">
        <f t="shared" si="311"/>
        <v>0</v>
      </c>
      <c r="P775" s="957">
        <f t="shared" si="312"/>
        <v>0</v>
      </c>
      <c r="Q775" s="1445"/>
      <c r="R775" s="1445"/>
      <c r="S775" s="1445"/>
      <c r="T775" s="1445"/>
      <c r="U775" s="1445"/>
      <c r="V775" s="1445"/>
      <c r="W775" s="1445"/>
      <c r="X775" s="1445"/>
      <c r="Y775" s="1445"/>
      <c r="Z775" s="1445"/>
    </row>
    <row r="776" spans="1:26" ht="18.75" hidden="1">
      <c r="A776" s="1480"/>
      <c r="B776" s="1446"/>
      <c r="C776" s="1442"/>
      <c r="D776" s="1442"/>
      <c r="E776" s="1442"/>
      <c r="F776" s="1442" t="s">
        <v>187</v>
      </c>
      <c r="G776" s="1444"/>
      <c r="H776" s="1081" t="s">
        <v>12</v>
      </c>
      <c r="I776" s="956"/>
      <c r="J776" s="956"/>
      <c r="K776" s="957"/>
      <c r="L776" s="957"/>
      <c r="M776" s="957"/>
      <c r="N776" s="957"/>
      <c r="O776" s="957"/>
      <c r="P776" s="957"/>
      <c r="Q776" s="1445"/>
      <c r="R776" s="1445"/>
      <c r="S776" s="1445"/>
      <c r="T776" s="1445"/>
      <c r="U776" s="1445"/>
      <c r="V776" s="1445"/>
      <c r="W776" s="1445"/>
      <c r="X776" s="1445"/>
      <c r="Y776" s="1445"/>
      <c r="Z776" s="1445"/>
    </row>
    <row r="777" spans="1:26" ht="18.75" hidden="1">
      <c r="A777" s="1480"/>
      <c r="B777" s="1446"/>
      <c r="C777" s="1442"/>
      <c r="D777" s="1442"/>
      <c r="E777" s="1442"/>
      <c r="F777" s="1442" t="s">
        <v>188</v>
      </c>
      <c r="G777" s="1444"/>
      <c r="H777" s="1081" t="s">
        <v>12</v>
      </c>
      <c r="I777" s="956"/>
      <c r="J777" s="956"/>
      <c r="K777" s="957"/>
      <c r="L777" s="957"/>
      <c r="M777" s="957"/>
      <c r="N777" s="957"/>
      <c r="O777" s="957"/>
      <c r="P777" s="957"/>
      <c r="Q777" s="1445"/>
      <c r="R777" s="1445"/>
      <c r="S777" s="1445"/>
      <c r="T777" s="1445"/>
      <c r="U777" s="1445"/>
      <c r="V777" s="1445"/>
      <c r="W777" s="1445"/>
      <c r="X777" s="1445"/>
      <c r="Y777" s="1445"/>
      <c r="Z777" s="1445"/>
    </row>
    <row r="778" spans="1:26" ht="18.75" hidden="1">
      <c r="A778" s="1480"/>
      <c r="B778" s="1446"/>
      <c r="C778" s="1442"/>
      <c r="D778" s="1442"/>
      <c r="E778" s="1442"/>
      <c r="F778" s="1442" t="s">
        <v>189</v>
      </c>
      <c r="G778" s="1444"/>
      <c r="H778" s="1081" t="s">
        <v>12</v>
      </c>
      <c r="I778" s="956"/>
      <c r="J778" s="956"/>
      <c r="K778" s="957"/>
      <c r="L778" s="957"/>
      <c r="M778" s="957"/>
      <c r="N778" s="957"/>
      <c r="O778" s="957"/>
      <c r="P778" s="957"/>
      <c r="Q778" s="1445"/>
      <c r="R778" s="1445"/>
      <c r="S778" s="1445"/>
      <c r="T778" s="1445"/>
      <c r="U778" s="1445"/>
      <c r="V778" s="1445"/>
      <c r="W778" s="1445"/>
      <c r="X778" s="1445"/>
      <c r="Y778" s="1445"/>
      <c r="Z778" s="1445"/>
    </row>
    <row r="779" spans="1:26" ht="18.75" hidden="1">
      <c r="A779" s="1480"/>
      <c r="B779" s="1446"/>
      <c r="C779" s="1442"/>
      <c r="D779" s="1442"/>
      <c r="E779" s="1442"/>
      <c r="F779" s="1442" t="s">
        <v>190</v>
      </c>
      <c r="G779" s="1444"/>
      <c r="H779" s="1081" t="s">
        <v>12</v>
      </c>
      <c r="I779" s="956"/>
      <c r="J779" s="956"/>
      <c r="K779" s="957"/>
      <c r="L779" s="957"/>
      <c r="M779" s="957"/>
      <c r="N779" s="957"/>
      <c r="O779" s="957"/>
      <c r="P779" s="957"/>
      <c r="Q779" s="1445"/>
      <c r="R779" s="1445"/>
      <c r="S779" s="1445"/>
      <c r="T779" s="1445"/>
      <c r="U779" s="1445"/>
      <c r="V779" s="1445"/>
      <c r="W779" s="1445"/>
      <c r="X779" s="1445"/>
      <c r="Y779" s="1445"/>
      <c r="Z779" s="1445"/>
    </row>
    <row r="780" spans="1:26" ht="19.5" hidden="1">
      <c r="A780" s="1441"/>
      <c r="B780" s="1446"/>
      <c r="C780" s="1442"/>
      <c r="D780" s="1594" t="s">
        <v>21</v>
      </c>
      <c r="E780" s="1442"/>
      <c r="F780" s="1442"/>
      <c r="G780" s="1444"/>
      <c r="H780" s="1595" t="s">
        <v>12</v>
      </c>
      <c r="I780" s="1082"/>
      <c r="J780" s="1082"/>
      <c r="K780" s="1083"/>
      <c r="L780" s="1478">
        <f t="shared" ref="L780:N780" si="315">L781+L782</f>
        <v>0</v>
      </c>
      <c r="M780" s="1478">
        <f t="shared" si="315"/>
        <v>0</v>
      </c>
      <c r="N780" s="1478">
        <f t="shared" si="315"/>
        <v>0</v>
      </c>
      <c r="O780" s="1478">
        <f t="shared" ref="O780:O782" si="316">IF(L780&gt;0,N780*100/L780,0)</f>
        <v>0</v>
      </c>
      <c r="P780" s="1478">
        <f t="shared" ref="P780:P782" si="317">IF(M780&gt;0,N780*100/M780,0)</f>
        <v>0</v>
      </c>
      <c r="Q780" s="1445"/>
      <c r="R780" s="1445"/>
      <c r="S780" s="1445"/>
      <c r="T780" s="1445"/>
      <c r="U780" s="1445"/>
      <c r="V780" s="1445"/>
      <c r="W780" s="1445"/>
      <c r="X780" s="1445"/>
      <c r="Y780" s="1445"/>
      <c r="Z780" s="1445"/>
    </row>
    <row r="781" spans="1:26" ht="18.75" hidden="1">
      <c r="A781" s="1441"/>
      <c r="B781" s="1446"/>
      <c r="C781" s="1442"/>
      <c r="D781" s="1442"/>
      <c r="E781" s="1442" t="s">
        <v>18</v>
      </c>
      <c r="F781" s="1442"/>
      <c r="G781" s="1444"/>
      <c r="H781" s="1081" t="s">
        <v>12</v>
      </c>
      <c r="I781" s="1082"/>
      <c r="J781" s="1082"/>
      <c r="K781" s="1083"/>
      <c r="L781" s="957">
        <v>0</v>
      </c>
      <c r="M781" s="957">
        <v>0</v>
      </c>
      <c r="N781" s="957">
        <v>0</v>
      </c>
      <c r="O781" s="957">
        <f t="shared" si="316"/>
        <v>0</v>
      </c>
      <c r="P781" s="957">
        <f t="shared" si="317"/>
        <v>0</v>
      </c>
      <c r="Q781" s="1445"/>
      <c r="R781" s="1445"/>
      <c r="S781" s="1445"/>
      <c r="T781" s="1445"/>
      <c r="U781" s="1445"/>
      <c r="V781" s="1445"/>
      <c r="W781" s="1445"/>
      <c r="X781" s="1445"/>
      <c r="Y781" s="1445"/>
      <c r="Z781" s="1445"/>
    </row>
    <row r="782" spans="1:26" ht="18.75" hidden="1">
      <c r="A782" s="1441"/>
      <c r="B782" s="1446"/>
      <c r="C782" s="1442"/>
      <c r="D782" s="1442"/>
      <c r="E782" s="1442" t="s">
        <v>19</v>
      </c>
      <c r="F782" s="1442"/>
      <c r="G782" s="1444"/>
      <c r="H782" s="1085" t="s">
        <v>12</v>
      </c>
      <c r="I782" s="1082"/>
      <c r="J782" s="1082"/>
      <c r="K782" s="1083"/>
      <c r="L782" s="957">
        <v>0</v>
      </c>
      <c r="M782" s="957">
        <v>0</v>
      </c>
      <c r="N782" s="957">
        <v>0</v>
      </c>
      <c r="O782" s="957">
        <f t="shared" si="316"/>
        <v>0</v>
      </c>
      <c r="P782" s="957">
        <f t="shared" si="317"/>
        <v>0</v>
      </c>
      <c r="Q782" s="1445"/>
      <c r="R782" s="1445"/>
      <c r="S782" s="1445"/>
      <c r="T782" s="1445"/>
      <c r="U782" s="1445"/>
      <c r="V782" s="1445"/>
      <c r="W782" s="1445"/>
      <c r="X782" s="1445"/>
      <c r="Y782" s="1445"/>
      <c r="Z782" s="1445"/>
    </row>
    <row r="783" spans="1:26" ht="19.5" hidden="1">
      <c r="A783" s="1454"/>
      <c r="B783" s="1455"/>
      <c r="C783" s="1442" t="s">
        <v>16</v>
      </c>
      <c r="D783" s="1596" t="s">
        <v>38</v>
      </c>
      <c r="E783" s="1482"/>
      <c r="F783" s="1482"/>
      <c r="G783" s="1483"/>
      <c r="H783" s="1613"/>
      <c r="I783" s="1082"/>
      <c r="J783" s="1082"/>
      <c r="K783" s="1083"/>
      <c r="L783" s="1083"/>
      <c r="M783" s="1083"/>
      <c r="N783" s="1083"/>
      <c r="O783" s="1083"/>
      <c r="P783" s="1083"/>
      <c r="Q783" s="1445"/>
      <c r="R783" s="1445"/>
      <c r="S783" s="1445"/>
      <c r="T783" s="1445"/>
      <c r="U783" s="1445"/>
      <c r="V783" s="1445"/>
      <c r="W783" s="1445"/>
      <c r="X783" s="1445"/>
      <c r="Y783" s="1445"/>
      <c r="Z783" s="1445"/>
    </row>
    <row r="784" spans="1:26" ht="18.75" hidden="1">
      <c r="A784" s="1480"/>
      <c r="B784" s="1446"/>
      <c r="C784" s="1442"/>
      <c r="D784" s="1442"/>
      <c r="E784" s="1442" t="s">
        <v>319</v>
      </c>
      <c r="F784" s="1442"/>
      <c r="G784" s="1444"/>
      <c r="H784" s="1081" t="s">
        <v>46</v>
      </c>
      <c r="I784" s="956"/>
      <c r="J784" s="956"/>
      <c r="K784" s="957"/>
      <c r="L784" s="957"/>
      <c r="M784" s="957"/>
      <c r="N784" s="957"/>
      <c r="O784" s="957"/>
      <c r="P784" s="957"/>
      <c r="Q784" s="1445"/>
      <c r="R784" s="1445"/>
      <c r="S784" s="1445"/>
      <c r="T784" s="1445"/>
      <c r="U784" s="1445"/>
      <c r="V784" s="1445"/>
      <c r="W784" s="1445"/>
      <c r="X784" s="1445"/>
      <c r="Y784" s="1445"/>
      <c r="Z784" s="1445"/>
    </row>
    <row r="785" spans="1:26" ht="19.5" hidden="1">
      <c r="A785" s="1614">
        <v>12</v>
      </c>
      <c r="B785" s="1615" t="s">
        <v>320</v>
      </c>
      <c r="C785" s="1616"/>
      <c r="D785" s="1616"/>
      <c r="E785" s="1616"/>
      <c r="F785" s="1616"/>
      <c r="G785" s="1617"/>
      <c r="H785" s="1618" t="s">
        <v>46</v>
      </c>
      <c r="I785" s="1619">
        <f t="shared" ref="I785:J785" ca="1" si="318">I800</f>
        <v>0</v>
      </c>
      <c r="J785" s="1620">
        <f t="shared" ca="1" si="318"/>
        <v>0</v>
      </c>
      <c r="K785" s="1621">
        <f ca="1">IF(I785&gt;0,J785*100/I785,0)</f>
        <v>0</v>
      </c>
      <c r="L785" s="1622"/>
      <c r="M785" s="1622"/>
      <c r="N785" s="1622"/>
      <c r="O785" s="1622"/>
      <c r="P785" s="1622"/>
      <c r="Q785" s="1419"/>
      <c r="R785" s="1419"/>
      <c r="S785" s="1419"/>
      <c r="T785" s="1419"/>
      <c r="U785" s="1419"/>
      <c r="V785" s="1419"/>
      <c r="W785" s="1419"/>
      <c r="X785" s="1419"/>
      <c r="Y785" s="1419"/>
      <c r="Z785" s="1419"/>
    </row>
    <row r="786" spans="1:26" ht="19.5" hidden="1">
      <c r="A786" s="1438"/>
      <c r="B786" s="1417"/>
      <c r="C786" s="1418" t="s">
        <v>16</v>
      </c>
      <c r="D786" s="1439" t="s">
        <v>17</v>
      </c>
      <c r="E786" s="987"/>
      <c r="F786" s="987"/>
      <c r="G786" s="1103"/>
      <c r="H786" s="1440" t="s">
        <v>12</v>
      </c>
      <c r="I786" s="949"/>
      <c r="J786" s="949"/>
      <c r="K786" s="950"/>
      <c r="L786" s="1108">
        <f t="shared" ref="L786:N786" ca="1" si="319">L787+L788</f>
        <v>0</v>
      </c>
      <c r="M786" s="1108">
        <f t="shared" si="319"/>
        <v>0</v>
      </c>
      <c r="N786" s="1108">
        <f t="shared" si="319"/>
        <v>0</v>
      </c>
      <c r="O786" s="1108">
        <f t="shared" ref="O786:O791" ca="1" si="320">IF(L786&gt;0,N786*100/L786,0)</f>
        <v>0</v>
      </c>
      <c r="P786" s="1108">
        <f t="shared" ref="P786:P791" si="321">IF(M786&gt;0,N786*100/M786,0)</f>
        <v>0</v>
      </c>
      <c r="Q786" s="1419"/>
      <c r="R786" s="1419"/>
      <c r="S786" s="1419"/>
      <c r="T786" s="1419"/>
      <c r="U786" s="1419"/>
      <c r="V786" s="1419"/>
      <c r="W786" s="1419"/>
      <c r="X786" s="1419"/>
      <c r="Y786" s="1419"/>
      <c r="Z786" s="1419"/>
    </row>
    <row r="787" spans="1:26" ht="18.75" hidden="1">
      <c r="A787" s="1441"/>
      <c r="B787" s="1446"/>
      <c r="C787" s="1442"/>
      <c r="D787" s="1443"/>
      <c r="E787" s="1442" t="s">
        <v>185</v>
      </c>
      <c r="F787" s="1442"/>
      <c r="G787" s="1444"/>
      <c r="H787" s="1081" t="s">
        <v>12</v>
      </c>
      <c r="I787" s="956"/>
      <c r="J787" s="956"/>
      <c r="K787" s="957"/>
      <c r="L787" s="957">
        <f t="shared" ref="L787:N788" si="322">L790+L797</f>
        <v>0</v>
      </c>
      <c r="M787" s="957">
        <f t="shared" si="322"/>
        <v>0</v>
      </c>
      <c r="N787" s="957">
        <f t="shared" si="322"/>
        <v>0</v>
      </c>
      <c r="O787" s="957">
        <f t="shared" si="320"/>
        <v>0</v>
      </c>
      <c r="P787" s="957">
        <f t="shared" si="321"/>
        <v>0</v>
      </c>
      <c r="Q787" s="1445"/>
      <c r="R787" s="1445"/>
      <c r="S787" s="1445"/>
      <c r="T787" s="1445"/>
      <c r="U787" s="1445"/>
      <c r="V787" s="1445"/>
      <c r="W787" s="1445"/>
      <c r="X787" s="1445"/>
      <c r="Y787" s="1445"/>
      <c r="Z787" s="1445"/>
    </row>
    <row r="788" spans="1:26" ht="18.75" hidden="1">
      <c r="A788" s="1441"/>
      <c r="B788" s="1446"/>
      <c r="C788" s="1446"/>
      <c r="D788" s="1455"/>
      <c r="E788" s="1442" t="s">
        <v>186</v>
      </c>
      <c r="F788" s="1442"/>
      <c r="G788" s="1444"/>
      <c r="H788" s="1081" t="s">
        <v>12</v>
      </c>
      <c r="I788" s="956"/>
      <c r="J788" s="956"/>
      <c r="K788" s="957"/>
      <c r="L788" s="957">
        <f t="shared" ca="1" si="322"/>
        <v>0</v>
      </c>
      <c r="M788" s="957">
        <f t="shared" si="322"/>
        <v>0</v>
      </c>
      <c r="N788" s="957">
        <f t="shared" si="322"/>
        <v>0</v>
      </c>
      <c r="O788" s="957">
        <f t="shared" ca="1" si="320"/>
        <v>0</v>
      </c>
      <c r="P788" s="957">
        <f t="shared" si="321"/>
        <v>0</v>
      </c>
      <c r="Q788" s="1445"/>
      <c r="R788" s="1445"/>
      <c r="S788" s="1445"/>
      <c r="T788" s="1445"/>
      <c r="U788" s="1445"/>
      <c r="V788" s="1445"/>
      <c r="W788" s="1445"/>
      <c r="X788" s="1445"/>
      <c r="Y788" s="1445"/>
      <c r="Z788" s="1445"/>
    </row>
    <row r="789" spans="1:26" ht="18.75" hidden="1">
      <c r="A789" s="1438"/>
      <c r="B789" s="1417"/>
      <c r="C789" s="1417"/>
      <c r="D789" s="1447" t="s">
        <v>20</v>
      </c>
      <c r="E789" s="1418"/>
      <c r="F789" s="1418"/>
      <c r="G789" s="1103"/>
      <c r="H789" s="1077" t="s">
        <v>12</v>
      </c>
      <c r="I789" s="1078"/>
      <c r="J789" s="1078"/>
      <c r="K789" s="1079"/>
      <c r="L789" s="950">
        <f t="shared" ref="L789:N789" ca="1" si="323">L790+L791</f>
        <v>0</v>
      </c>
      <c r="M789" s="950">
        <f t="shared" si="323"/>
        <v>0</v>
      </c>
      <c r="N789" s="950">
        <f t="shared" si="323"/>
        <v>0</v>
      </c>
      <c r="O789" s="950">
        <f t="shared" ca="1" si="320"/>
        <v>0</v>
      </c>
      <c r="P789" s="950">
        <f t="shared" si="321"/>
        <v>0</v>
      </c>
      <c r="Q789" s="1419"/>
      <c r="R789" s="1419"/>
      <c r="S789" s="1419"/>
      <c r="T789" s="1419"/>
      <c r="U789" s="1419"/>
      <c r="V789" s="1419"/>
      <c r="W789" s="1419"/>
      <c r="X789" s="1419"/>
      <c r="Y789" s="1419"/>
      <c r="Z789" s="1419"/>
    </row>
    <row r="790" spans="1:26" ht="18.75" hidden="1">
      <c r="A790" s="1441"/>
      <c r="B790" s="1446"/>
      <c r="C790" s="1446"/>
      <c r="D790" s="1455"/>
      <c r="E790" s="1442" t="s">
        <v>185</v>
      </c>
      <c r="F790" s="1442"/>
      <c r="G790" s="1444"/>
      <c r="H790" s="1081" t="s">
        <v>12</v>
      </c>
      <c r="I790" s="956"/>
      <c r="J790" s="956"/>
      <c r="K790" s="957"/>
      <c r="L790" s="957">
        <v>0</v>
      </c>
      <c r="M790" s="957">
        <v>0</v>
      </c>
      <c r="N790" s="957">
        <v>0</v>
      </c>
      <c r="O790" s="957">
        <f t="shared" si="320"/>
        <v>0</v>
      </c>
      <c r="P790" s="957">
        <f t="shared" si="321"/>
        <v>0</v>
      </c>
      <c r="Q790" s="1445"/>
      <c r="R790" s="1445"/>
      <c r="S790" s="1445"/>
      <c r="T790" s="1445"/>
      <c r="U790" s="1445"/>
      <c r="V790" s="1445"/>
      <c r="W790" s="1445"/>
      <c r="X790" s="1445"/>
      <c r="Y790" s="1445"/>
      <c r="Z790" s="1445"/>
    </row>
    <row r="791" spans="1:26" ht="18.75" hidden="1">
      <c r="A791" s="1441"/>
      <c r="B791" s="1446"/>
      <c r="C791" s="1446"/>
      <c r="D791" s="1455"/>
      <c r="E791" s="1442" t="s">
        <v>186</v>
      </c>
      <c r="F791" s="1442"/>
      <c r="G791" s="1444"/>
      <c r="H791" s="1081" t="s">
        <v>12</v>
      </c>
      <c r="I791" s="956"/>
      <c r="J791" s="956"/>
      <c r="K791" s="957"/>
      <c r="L791" s="957">
        <f ca="1">IFERROR(__xludf.DUMMYFUNCTION("IMPORTRANGE(""https://docs.google.com/spreadsheets/d/1QqKyyYR6Q21VydFLVH3TRQUabQu_ym0Zz7PgGX0-kHA/edit?usp=sharing"",""แผน!JJ62"")"),0)</f>
        <v>0</v>
      </c>
      <c r="M791" s="957">
        <v>0</v>
      </c>
      <c r="N791" s="957">
        <f>N792+N793+N794+N795</f>
        <v>0</v>
      </c>
      <c r="O791" s="957">
        <f t="shared" ca="1" si="320"/>
        <v>0</v>
      </c>
      <c r="P791" s="957">
        <f t="shared" si="321"/>
        <v>0</v>
      </c>
      <c r="Q791" s="1445"/>
      <c r="R791" s="1445"/>
      <c r="S791" s="1445"/>
      <c r="T791" s="1445"/>
      <c r="U791" s="1445"/>
      <c r="V791" s="1445"/>
      <c r="W791" s="1445"/>
      <c r="X791" s="1445"/>
      <c r="Y791" s="1445"/>
      <c r="Z791" s="1445"/>
    </row>
    <row r="792" spans="1:26" ht="18.75" hidden="1">
      <c r="A792" s="1416"/>
      <c r="B792" s="1417"/>
      <c r="C792" s="1418"/>
      <c r="D792" s="1418"/>
      <c r="E792" s="1418"/>
      <c r="F792" s="1418" t="s">
        <v>187</v>
      </c>
      <c r="G792" s="1103"/>
      <c r="H792" s="1077" t="s">
        <v>12</v>
      </c>
      <c r="I792" s="949"/>
      <c r="J792" s="949"/>
      <c r="K792" s="950"/>
      <c r="L792" s="950"/>
      <c r="M792" s="950"/>
      <c r="N792" s="1186">
        <v>0</v>
      </c>
      <c r="O792" s="950"/>
      <c r="P792" s="950"/>
      <c r="Q792" s="1419"/>
      <c r="R792" s="1419"/>
      <c r="S792" s="1419"/>
      <c r="T792" s="1419"/>
      <c r="U792" s="1419"/>
      <c r="V792" s="1419"/>
      <c r="W792" s="1419"/>
      <c r="X792" s="1419"/>
      <c r="Y792" s="1419"/>
      <c r="Z792" s="1419"/>
    </row>
    <row r="793" spans="1:26" ht="18.75" hidden="1">
      <c r="A793" s="1416"/>
      <c r="B793" s="1417"/>
      <c r="C793" s="1418"/>
      <c r="D793" s="1418"/>
      <c r="E793" s="1418"/>
      <c r="F793" s="1418" t="s">
        <v>188</v>
      </c>
      <c r="G793" s="1103"/>
      <c r="H793" s="1077" t="s">
        <v>12</v>
      </c>
      <c r="I793" s="949"/>
      <c r="J793" s="949"/>
      <c r="K793" s="950"/>
      <c r="L793" s="950"/>
      <c r="M793" s="950"/>
      <c r="N793" s="1186">
        <v>0</v>
      </c>
      <c r="O793" s="950"/>
      <c r="P793" s="950"/>
      <c r="Q793" s="1419"/>
      <c r="R793" s="1419"/>
      <c r="S793" s="1419"/>
      <c r="T793" s="1419"/>
      <c r="U793" s="1419"/>
      <c r="V793" s="1419"/>
      <c r="W793" s="1419"/>
      <c r="X793" s="1419"/>
      <c r="Y793" s="1419"/>
      <c r="Z793" s="1419"/>
    </row>
    <row r="794" spans="1:26" ht="18.75" hidden="1">
      <c r="A794" s="1416"/>
      <c r="B794" s="1417"/>
      <c r="C794" s="1418"/>
      <c r="D794" s="1418"/>
      <c r="E794" s="1418"/>
      <c r="F794" s="1418" t="s">
        <v>189</v>
      </c>
      <c r="G794" s="1103"/>
      <c r="H794" s="1077" t="s">
        <v>12</v>
      </c>
      <c r="I794" s="949"/>
      <c r="J794" s="949"/>
      <c r="K794" s="950"/>
      <c r="L794" s="950"/>
      <c r="M794" s="950"/>
      <c r="N794" s="1186">
        <v>0</v>
      </c>
      <c r="O794" s="950"/>
      <c r="P794" s="950"/>
      <c r="Q794" s="1419"/>
      <c r="R794" s="1419"/>
      <c r="S794" s="1419"/>
      <c r="T794" s="1419"/>
      <c r="U794" s="1419"/>
      <c r="V794" s="1419"/>
      <c r="W794" s="1419"/>
      <c r="X794" s="1419"/>
      <c r="Y794" s="1419"/>
      <c r="Z794" s="1419"/>
    </row>
    <row r="795" spans="1:26" ht="18.75" hidden="1">
      <c r="A795" s="1416"/>
      <c r="B795" s="1417"/>
      <c r="C795" s="1418"/>
      <c r="D795" s="1418"/>
      <c r="E795" s="1418"/>
      <c r="F795" s="1418" t="s">
        <v>190</v>
      </c>
      <c r="G795" s="1103"/>
      <c r="H795" s="1077" t="s">
        <v>12</v>
      </c>
      <c r="I795" s="949"/>
      <c r="J795" s="949"/>
      <c r="K795" s="950"/>
      <c r="L795" s="950"/>
      <c r="M795" s="950"/>
      <c r="N795" s="1186">
        <v>0</v>
      </c>
      <c r="O795" s="950"/>
      <c r="P795" s="950"/>
      <c r="Q795" s="1419"/>
      <c r="R795" s="1419"/>
      <c r="S795" s="1419"/>
      <c r="T795" s="1419"/>
      <c r="U795" s="1419"/>
      <c r="V795" s="1419"/>
      <c r="W795" s="1419"/>
      <c r="X795" s="1419"/>
      <c r="Y795" s="1419"/>
      <c r="Z795" s="1419"/>
    </row>
    <row r="796" spans="1:26" ht="18.75" hidden="1">
      <c r="A796" s="1438"/>
      <c r="B796" s="1417"/>
      <c r="C796" s="1418"/>
      <c r="D796" s="1447" t="s">
        <v>21</v>
      </c>
      <c r="E796" s="1418"/>
      <c r="F796" s="1418"/>
      <c r="G796" s="1103"/>
      <c r="H796" s="1084" t="s">
        <v>12</v>
      </c>
      <c r="I796" s="1078"/>
      <c r="J796" s="1078"/>
      <c r="K796" s="1079"/>
      <c r="L796" s="950">
        <f t="shared" ref="L796:N796" si="324">L797+L798</f>
        <v>0</v>
      </c>
      <c r="M796" s="950">
        <f t="shared" si="324"/>
        <v>0</v>
      </c>
      <c r="N796" s="950">
        <f t="shared" si="324"/>
        <v>0</v>
      </c>
      <c r="O796" s="950">
        <f t="shared" ref="O796:O798" si="325">IF(L796&gt;0,N796*100/L796,0)</f>
        <v>0</v>
      </c>
      <c r="P796" s="950">
        <f t="shared" ref="P796:P798" si="326">IF(M796&gt;0,N796*100/M796,0)</f>
        <v>0</v>
      </c>
      <c r="Q796" s="1419"/>
      <c r="R796" s="1419"/>
      <c r="S796" s="1419"/>
      <c r="T796" s="1419"/>
      <c r="U796" s="1419"/>
      <c r="V796" s="1419"/>
      <c r="W796" s="1419"/>
      <c r="X796" s="1419"/>
      <c r="Y796" s="1419"/>
      <c r="Z796" s="1419"/>
    </row>
    <row r="797" spans="1:26" ht="18.75" hidden="1">
      <c r="A797" s="1441"/>
      <c r="B797" s="1446"/>
      <c r="C797" s="1442"/>
      <c r="D797" s="1442"/>
      <c r="E797" s="1442" t="s">
        <v>18</v>
      </c>
      <c r="F797" s="1442"/>
      <c r="G797" s="1444"/>
      <c r="H797" s="1081" t="s">
        <v>12</v>
      </c>
      <c r="I797" s="1082"/>
      <c r="J797" s="1082"/>
      <c r="K797" s="1083"/>
      <c r="L797" s="957">
        <v>0</v>
      </c>
      <c r="M797" s="957">
        <v>0</v>
      </c>
      <c r="N797" s="957">
        <v>0</v>
      </c>
      <c r="O797" s="957">
        <f t="shared" si="325"/>
        <v>0</v>
      </c>
      <c r="P797" s="957">
        <f t="shared" si="326"/>
        <v>0</v>
      </c>
      <c r="Q797" s="1445"/>
      <c r="R797" s="1445"/>
      <c r="S797" s="1445"/>
      <c r="T797" s="1445"/>
      <c r="U797" s="1445"/>
      <c r="V797" s="1445"/>
      <c r="W797" s="1445"/>
      <c r="X797" s="1445"/>
      <c r="Y797" s="1445"/>
      <c r="Z797" s="1445"/>
    </row>
    <row r="798" spans="1:26" ht="18.75" hidden="1">
      <c r="A798" s="1441"/>
      <c r="B798" s="1446"/>
      <c r="C798" s="1442"/>
      <c r="D798" s="1442"/>
      <c r="E798" s="1442" t="s">
        <v>19</v>
      </c>
      <c r="F798" s="1442"/>
      <c r="G798" s="1444"/>
      <c r="H798" s="1085" t="s">
        <v>12</v>
      </c>
      <c r="I798" s="1082"/>
      <c r="J798" s="1082"/>
      <c r="K798" s="1083"/>
      <c r="L798" s="957">
        <v>0</v>
      </c>
      <c r="M798" s="957">
        <v>0</v>
      </c>
      <c r="N798" s="957">
        <v>0</v>
      </c>
      <c r="O798" s="957">
        <f t="shared" si="325"/>
        <v>0</v>
      </c>
      <c r="P798" s="957">
        <f t="shared" si="326"/>
        <v>0</v>
      </c>
      <c r="Q798" s="1445"/>
      <c r="R798" s="1445"/>
      <c r="S798" s="1445"/>
      <c r="T798" s="1445"/>
      <c r="U798" s="1445"/>
      <c r="V798" s="1445"/>
      <c r="W798" s="1445"/>
      <c r="X798" s="1445"/>
      <c r="Y798" s="1445"/>
      <c r="Z798" s="1445"/>
    </row>
    <row r="799" spans="1:26" ht="19.5" hidden="1">
      <c r="A799" s="1448"/>
      <c r="B799" s="1449"/>
      <c r="C799" s="1418" t="s">
        <v>16</v>
      </c>
      <c r="D799" s="1578" t="s">
        <v>38</v>
      </c>
      <c r="E799" s="1452"/>
      <c r="F799" s="1452"/>
      <c r="G799" s="1453"/>
      <c r="H799" s="1623"/>
      <c r="I799" s="1078"/>
      <c r="J799" s="1078"/>
      <c r="K799" s="1079"/>
      <c r="L799" s="1079"/>
      <c r="M799" s="1079"/>
      <c r="N799" s="1079"/>
      <c r="O799" s="1079"/>
      <c r="P799" s="1079"/>
      <c r="Q799" s="1419"/>
      <c r="R799" s="1419"/>
      <c r="S799" s="1419"/>
      <c r="T799" s="1419"/>
      <c r="U799" s="1419"/>
      <c r="V799" s="1419"/>
      <c r="W799" s="1419"/>
      <c r="X799" s="1419"/>
      <c r="Y799" s="1419"/>
      <c r="Z799" s="1419"/>
    </row>
    <row r="800" spans="1:26" ht="18.75" hidden="1">
      <c r="A800" s="1448"/>
      <c r="B800" s="1449"/>
      <c r="C800" s="1449"/>
      <c r="D800" s="1449"/>
      <c r="E800" s="1101"/>
      <c r="F800" s="1101" t="s">
        <v>321</v>
      </c>
      <c r="G800" s="1091"/>
      <c r="H800" s="1099" t="s">
        <v>46</v>
      </c>
      <c r="I800" s="1078">
        <f ca="1">IFERROR(__xludf.DUMMYFUNCTION("IMPORTRANGE(""https://docs.google.com/spreadsheets/d/1QqKyyYR6Q21VydFLVH3TRQUabQu_ym0Zz7PgGX0-kHA/edit?usp=sharing"",""แผน!JN62"")"),0)</f>
        <v>0</v>
      </c>
      <c r="J800" s="1078">
        <f ca="1">IFERROR(__xludf.DUMMYFUNCTION("IMPORTRANGE(""https://docs.google.com/spreadsheets/d/1MaWodYyGHDf7siQLGxnXhG4mBNTNIuy296niS2xXulU/edit?usp=sharing"",""RTK!H62"")"),0)</f>
        <v>0</v>
      </c>
      <c r="K800" s="950">
        <f ca="1">IF(I800&gt;0,J800*100/I800,0)</f>
        <v>0</v>
      </c>
      <c r="L800" s="950"/>
      <c r="M800" s="950"/>
      <c r="N800" s="950"/>
      <c r="O800" s="1079"/>
      <c r="P800" s="1079"/>
      <c r="Q800" s="1419"/>
      <c r="R800" s="1419"/>
      <c r="S800" s="1419"/>
      <c r="T800" s="1419"/>
      <c r="U800" s="1419"/>
      <c r="V800" s="1419"/>
      <c r="W800" s="1419"/>
      <c r="X800" s="1419"/>
      <c r="Y800" s="1419"/>
      <c r="Z800" s="1419"/>
    </row>
    <row r="801" spans="1:26" ht="18.75" hidden="1">
      <c r="A801" s="1448"/>
      <c r="B801" s="1449"/>
      <c r="C801" s="1449"/>
      <c r="D801" s="1449"/>
      <c r="E801" s="1101"/>
      <c r="F801" s="1101"/>
      <c r="G801" s="1091"/>
      <c r="H801" s="1077" t="s">
        <v>34</v>
      </c>
      <c r="I801" s="1078"/>
      <c r="J801" s="949">
        <f ca="1">IFERROR(__xludf.DUMMYFUNCTION("IMPORTRANGE(""https://docs.google.com/spreadsheets/d/1MaWodYyGHDf7siQLGxnXhG4mBNTNIuy296niS2xXulU/edit?usp=sharing"",""RTK!I62"")"),0)</f>
        <v>0</v>
      </c>
      <c r="K801" s="950"/>
      <c r="L801" s="950"/>
      <c r="M801" s="950"/>
      <c r="N801" s="950"/>
      <c r="O801" s="1079"/>
      <c r="P801" s="1079"/>
      <c r="Q801" s="1419"/>
      <c r="R801" s="1419"/>
      <c r="S801" s="1419"/>
      <c r="T801" s="1419"/>
      <c r="U801" s="1419"/>
      <c r="V801" s="1419"/>
      <c r="W801" s="1419"/>
      <c r="X801" s="1419"/>
      <c r="Y801" s="1419"/>
      <c r="Z801" s="1419"/>
    </row>
    <row r="802" spans="1:26" ht="18.75" hidden="1">
      <c r="A802" s="1454"/>
      <c r="B802" s="1455"/>
      <c r="C802" s="1455"/>
      <c r="D802" s="1455"/>
      <c r="E802" s="1443"/>
      <c r="F802" s="1443" t="s">
        <v>322</v>
      </c>
      <c r="G802" s="1216"/>
      <c r="H802" s="1484" t="s">
        <v>46</v>
      </c>
      <c r="I802" s="1082"/>
      <c r="J802" s="956">
        <v>0</v>
      </c>
      <c r="K802" s="1083">
        <f>IF(I802&gt;0,J802*100/I802,0)</f>
        <v>0</v>
      </c>
      <c r="L802" s="1083"/>
      <c r="M802" s="1083"/>
      <c r="N802" s="1083"/>
      <c r="O802" s="1083"/>
      <c r="P802" s="1083"/>
      <c r="Q802" s="1445"/>
      <c r="R802" s="1445"/>
      <c r="S802" s="1445"/>
      <c r="T802" s="1445"/>
      <c r="U802" s="1445"/>
      <c r="V802" s="1445"/>
      <c r="W802" s="1445"/>
      <c r="X802" s="1445"/>
      <c r="Y802" s="1445"/>
      <c r="Z802" s="1445"/>
    </row>
    <row r="803" spans="1:26" ht="18.75" hidden="1">
      <c r="A803" s="1454"/>
      <c r="B803" s="1455"/>
      <c r="C803" s="1455"/>
      <c r="D803" s="1455"/>
      <c r="E803" s="1443"/>
      <c r="F803" s="1443"/>
      <c r="G803" s="1216"/>
      <c r="H803" s="1484" t="s">
        <v>34</v>
      </c>
      <c r="I803" s="1082"/>
      <c r="J803" s="956">
        <v>0</v>
      </c>
      <c r="K803" s="1083"/>
      <c r="L803" s="1083"/>
      <c r="M803" s="1083"/>
      <c r="N803" s="1083"/>
      <c r="O803" s="1083"/>
      <c r="P803" s="1083"/>
      <c r="Q803" s="1445"/>
      <c r="R803" s="1445"/>
      <c r="S803" s="1445"/>
      <c r="T803" s="1445"/>
      <c r="U803" s="1445"/>
      <c r="V803" s="1445"/>
      <c r="W803" s="1445"/>
      <c r="X803" s="1445"/>
      <c r="Y803" s="1445"/>
      <c r="Z803" s="1445"/>
    </row>
    <row r="804" spans="1:26" ht="19.5" hidden="1">
      <c r="A804" s="1605">
        <v>13</v>
      </c>
      <c r="B804" s="1606" t="s">
        <v>323</v>
      </c>
      <c r="C804" s="1607"/>
      <c r="D804" s="1624"/>
      <c r="E804" s="1607"/>
      <c r="F804" s="1607"/>
      <c r="G804" s="1608"/>
      <c r="H804" s="1609" t="s">
        <v>46</v>
      </c>
      <c r="I804" s="1610"/>
      <c r="J804" s="1610">
        <f>J819</f>
        <v>0</v>
      </c>
      <c r="K804" s="1611">
        <f>IF(I804&gt;0,J804*100/I804,0)</f>
        <v>0</v>
      </c>
      <c r="L804" s="1612"/>
      <c r="M804" s="1612"/>
      <c r="N804" s="1612"/>
      <c r="O804" s="1612"/>
      <c r="P804" s="1612"/>
      <c r="Q804" s="1445"/>
      <c r="R804" s="1445"/>
      <c r="S804" s="1445"/>
      <c r="T804" s="1445"/>
      <c r="U804" s="1445"/>
      <c r="V804" s="1445"/>
      <c r="W804" s="1445"/>
      <c r="X804" s="1445"/>
      <c r="Y804" s="1445"/>
      <c r="Z804" s="1445"/>
    </row>
    <row r="805" spans="1:26" ht="19.5" hidden="1">
      <c r="A805" s="1441"/>
      <c r="B805" s="1442"/>
      <c r="C805" s="1442" t="s">
        <v>16</v>
      </c>
      <c r="D805" s="1476" t="s">
        <v>17</v>
      </c>
      <c r="E805" s="987"/>
      <c r="F805" s="987"/>
      <c r="G805" s="1444"/>
      <c r="H805" s="1477" t="s">
        <v>12</v>
      </c>
      <c r="I805" s="956"/>
      <c r="J805" s="956"/>
      <c r="K805" s="957"/>
      <c r="L805" s="1478">
        <f t="shared" ref="L805:N805" si="327">L806+L807</f>
        <v>0</v>
      </c>
      <c r="M805" s="1478">
        <f t="shared" si="327"/>
        <v>0</v>
      </c>
      <c r="N805" s="1478">
        <f t="shared" si="327"/>
        <v>0</v>
      </c>
      <c r="O805" s="1478">
        <f t="shared" ref="O805:O810" si="328">IF(L805&gt;0,N805*100/L805,0)</f>
        <v>0</v>
      </c>
      <c r="P805" s="1478">
        <f t="shared" ref="P805:P810" si="329">IF(M805&gt;0,N805*100/M805,0)</f>
        <v>0</v>
      </c>
      <c r="Q805" s="1445"/>
      <c r="R805" s="1445"/>
      <c r="S805" s="1445"/>
      <c r="T805" s="1445"/>
      <c r="U805" s="1445"/>
      <c r="V805" s="1445"/>
      <c r="W805" s="1445"/>
      <c r="X805" s="1445"/>
      <c r="Y805" s="1445"/>
      <c r="Z805" s="1445"/>
    </row>
    <row r="806" spans="1:26" ht="18.75" hidden="1">
      <c r="A806" s="1441"/>
      <c r="B806" s="1442"/>
      <c r="C806" s="1442"/>
      <c r="D806" s="1455"/>
      <c r="E806" s="1442" t="s">
        <v>185</v>
      </c>
      <c r="F806" s="1442"/>
      <c r="G806" s="1444"/>
      <c r="H806" s="1081" t="s">
        <v>12</v>
      </c>
      <c r="I806" s="956"/>
      <c r="J806" s="956"/>
      <c r="K806" s="957"/>
      <c r="L806" s="957">
        <f t="shared" ref="L806:N807" si="330">L809+L816</f>
        <v>0</v>
      </c>
      <c r="M806" s="957">
        <f t="shared" si="330"/>
        <v>0</v>
      </c>
      <c r="N806" s="957">
        <f t="shared" si="330"/>
        <v>0</v>
      </c>
      <c r="O806" s="957">
        <f t="shared" si="328"/>
        <v>0</v>
      </c>
      <c r="P806" s="957">
        <f t="shared" si="329"/>
        <v>0</v>
      </c>
      <c r="Q806" s="1445"/>
      <c r="R806" s="1445"/>
      <c r="S806" s="1445"/>
      <c r="T806" s="1445"/>
      <c r="U806" s="1445"/>
      <c r="V806" s="1445"/>
      <c r="W806" s="1445"/>
      <c r="X806" s="1445"/>
      <c r="Y806" s="1445"/>
      <c r="Z806" s="1445"/>
    </row>
    <row r="807" spans="1:26" ht="18.75" hidden="1">
      <c r="A807" s="1441"/>
      <c r="B807" s="1442"/>
      <c r="C807" s="1442"/>
      <c r="D807" s="1455"/>
      <c r="E807" s="1442" t="s">
        <v>186</v>
      </c>
      <c r="F807" s="1442"/>
      <c r="G807" s="1444"/>
      <c r="H807" s="1081" t="s">
        <v>12</v>
      </c>
      <c r="I807" s="956"/>
      <c r="J807" s="956"/>
      <c r="K807" s="957"/>
      <c r="L807" s="957">
        <f t="shared" si="330"/>
        <v>0</v>
      </c>
      <c r="M807" s="957">
        <f t="shared" si="330"/>
        <v>0</v>
      </c>
      <c r="N807" s="957">
        <f t="shared" si="330"/>
        <v>0</v>
      </c>
      <c r="O807" s="957">
        <f t="shared" si="328"/>
        <v>0</v>
      </c>
      <c r="P807" s="957">
        <f t="shared" si="329"/>
        <v>0</v>
      </c>
      <c r="Q807" s="1445"/>
      <c r="R807" s="1445"/>
      <c r="S807" s="1445"/>
      <c r="T807" s="1445"/>
      <c r="U807" s="1445"/>
      <c r="V807" s="1445"/>
      <c r="W807" s="1445"/>
      <c r="X807" s="1445"/>
      <c r="Y807" s="1445"/>
      <c r="Z807" s="1445"/>
    </row>
    <row r="808" spans="1:26" ht="19.5" hidden="1">
      <c r="A808" s="1441"/>
      <c r="B808" s="1446"/>
      <c r="C808" s="1442"/>
      <c r="D808" s="1625" t="s">
        <v>20</v>
      </c>
      <c r="E808" s="987"/>
      <c r="F808" s="987"/>
      <c r="G808" s="1444"/>
      <c r="H808" s="1477" t="s">
        <v>12</v>
      </c>
      <c r="I808" s="1082"/>
      <c r="J808" s="1082"/>
      <c r="K808" s="1083"/>
      <c r="L808" s="1478">
        <f t="shared" ref="L808:N808" si="331">L809+L810</f>
        <v>0</v>
      </c>
      <c r="M808" s="1478">
        <f t="shared" si="331"/>
        <v>0</v>
      </c>
      <c r="N808" s="1478">
        <f t="shared" si="331"/>
        <v>0</v>
      </c>
      <c r="O808" s="1478">
        <f t="shared" si="328"/>
        <v>0</v>
      </c>
      <c r="P808" s="1478">
        <f t="shared" si="329"/>
        <v>0</v>
      </c>
      <c r="Q808" s="1445"/>
      <c r="R808" s="1445"/>
      <c r="S808" s="1445"/>
      <c r="T808" s="1445"/>
      <c r="U808" s="1445"/>
      <c r="V808" s="1445"/>
      <c r="W808" s="1445"/>
      <c r="X808" s="1445"/>
      <c r="Y808" s="1445"/>
      <c r="Z808" s="1445"/>
    </row>
    <row r="809" spans="1:26" ht="18.75" hidden="1">
      <c r="A809" s="1441"/>
      <c r="B809" s="1442"/>
      <c r="C809" s="1442"/>
      <c r="D809" s="1455"/>
      <c r="E809" s="1442" t="s">
        <v>185</v>
      </c>
      <c r="F809" s="1442"/>
      <c r="G809" s="1444"/>
      <c r="H809" s="1081" t="s">
        <v>12</v>
      </c>
      <c r="I809" s="956"/>
      <c r="J809" s="956"/>
      <c r="K809" s="957"/>
      <c r="L809" s="957">
        <v>0</v>
      </c>
      <c r="M809" s="957">
        <v>0</v>
      </c>
      <c r="N809" s="957">
        <v>0</v>
      </c>
      <c r="O809" s="957">
        <f t="shared" si="328"/>
        <v>0</v>
      </c>
      <c r="P809" s="957">
        <f t="shared" si="329"/>
        <v>0</v>
      </c>
      <c r="Q809" s="1445"/>
      <c r="R809" s="1445"/>
      <c r="S809" s="1445"/>
      <c r="T809" s="1445"/>
      <c r="U809" s="1445"/>
      <c r="V809" s="1445"/>
      <c r="W809" s="1445"/>
      <c r="X809" s="1445"/>
      <c r="Y809" s="1445"/>
      <c r="Z809" s="1445"/>
    </row>
    <row r="810" spans="1:26" ht="18.75" hidden="1">
      <c r="A810" s="1441"/>
      <c r="B810" s="1442"/>
      <c r="C810" s="1442"/>
      <c r="D810" s="1455"/>
      <c r="E810" s="1442" t="s">
        <v>186</v>
      </c>
      <c r="F810" s="1442"/>
      <c r="G810" s="1444"/>
      <c r="H810" s="1081" t="s">
        <v>12</v>
      </c>
      <c r="I810" s="956"/>
      <c r="J810" s="956"/>
      <c r="K810" s="957"/>
      <c r="L810" s="957">
        <v>0</v>
      </c>
      <c r="M810" s="957">
        <v>0</v>
      </c>
      <c r="N810" s="957">
        <f>N811+N812+N813+N814</f>
        <v>0</v>
      </c>
      <c r="O810" s="957">
        <f t="shared" si="328"/>
        <v>0</v>
      </c>
      <c r="P810" s="957">
        <f t="shared" si="329"/>
        <v>0</v>
      </c>
      <c r="Q810" s="1445"/>
      <c r="R810" s="1445"/>
      <c r="S810" s="1445"/>
      <c r="T810" s="1445"/>
      <c r="U810" s="1445"/>
      <c r="V810" s="1445"/>
      <c r="W810" s="1445"/>
      <c r="X810" s="1445"/>
      <c r="Y810" s="1445"/>
      <c r="Z810" s="1445"/>
    </row>
    <row r="811" spans="1:26" ht="18.75" hidden="1">
      <c r="A811" s="1480"/>
      <c r="B811" s="1446"/>
      <c r="C811" s="1442"/>
      <c r="D811" s="1446"/>
      <c r="E811" s="1442"/>
      <c r="F811" s="1442" t="s">
        <v>187</v>
      </c>
      <c r="G811" s="1444"/>
      <c r="H811" s="1081" t="s">
        <v>12</v>
      </c>
      <c r="I811" s="956"/>
      <c r="J811" s="956"/>
      <c r="K811" s="957"/>
      <c r="L811" s="957"/>
      <c r="M811" s="957"/>
      <c r="N811" s="957"/>
      <c r="O811" s="957"/>
      <c r="P811" s="957"/>
      <c r="Q811" s="1445"/>
      <c r="R811" s="1445"/>
      <c r="S811" s="1445"/>
      <c r="T811" s="1445"/>
      <c r="U811" s="1445"/>
      <c r="V811" s="1445"/>
      <c r="W811" s="1445"/>
      <c r="X811" s="1445"/>
      <c r="Y811" s="1445"/>
      <c r="Z811" s="1445"/>
    </row>
    <row r="812" spans="1:26" ht="18.75" hidden="1">
      <c r="A812" s="1480"/>
      <c r="B812" s="1446"/>
      <c r="C812" s="1442"/>
      <c r="D812" s="1446"/>
      <c r="E812" s="1442"/>
      <c r="F812" s="1442" t="s">
        <v>188</v>
      </c>
      <c r="G812" s="1444"/>
      <c r="H812" s="1081" t="s">
        <v>12</v>
      </c>
      <c r="I812" s="956"/>
      <c r="J812" s="956"/>
      <c r="K812" s="957"/>
      <c r="L812" s="957"/>
      <c r="M812" s="957"/>
      <c r="N812" s="957"/>
      <c r="O812" s="957"/>
      <c r="P812" s="957"/>
      <c r="Q812" s="1445"/>
      <c r="R812" s="1445"/>
      <c r="S812" s="1445"/>
      <c r="T812" s="1445"/>
      <c r="U812" s="1445"/>
      <c r="V812" s="1445"/>
      <c r="W812" s="1445"/>
      <c r="X812" s="1445"/>
      <c r="Y812" s="1445"/>
      <c r="Z812" s="1445"/>
    </row>
    <row r="813" spans="1:26" ht="18.75" hidden="1">
      <c r="A813" s="1480"/>
      <c r="B813" s="1446"/>
      <c r="C813" s="1442"/>
      <c r="D813" s="1446"/>
      <c r="E813" s="1442"/>
      <c r="F813" s="1442" t="s">
        <v>189</v>
      </c>
      <c r="G813" s="1444"/>
      <c r="H813" s="1081" t="s">
        <v>12</v>
      </c>
      <c r="I813" s="956"/>
      <c r="J813" s="956"/>
      <c r="K813" s="957"/>
      <c r="L813" s="957"/>
      <c r="M813" s="957"/>
      <c r="N813" s="957"/>
      <c r="O813" s="957"/>
      <c r="P813" s="957"/>
      <c r="Q813" s="1445"/>
      <c r="R813" s="1445"/>
      <c r="S813" s="1445"/>
      <c r="T813" s="1445"/>
      <c r="U813" s="1445"/>
      <c r="V813" s="1445"/>
      <c r="W813" s="1445"/>
      <c r="X813" s="1445"/>
      <c r="Y813" s="1445"/>
      <c r="Z813" s="1445"/>
    </row>
    <row r="814" spans="1:26" ht="18.75" hidden="1">
      <c r="A814" s="1480"/>
      <c r="B814" s="1446"/>
      <c r="C814" s="1442"/>
      <c r="D814" s="1446"/>
      <c r="E814" s="1442"/>
      <c r="F814" s="1442" t="s">
        <v>190</v>
      </c>
      <c r="G814" s="1444"/>
      <c r="H814" s="1081" t="s">
        <v>12</v>
      </c>
      <c r="I814" s="956"/>
      <c r="J814" s="956"/>
      <c r="K814" s="957"/>
      <c r="L814" s="957"/>
      <c r="M814" s="957"/>
      <c r="N814" s="957"/>
      <c r="O814" s="957"/>
      <c r="P814" s="957"/>
      <c r="Q814" s="1445"/>
      <c r="R814" s="1445"/>
      <c r="S814" s="1445"/>
      <c r="T814" s="1445"/>
      <c r="U814" s="1445"/>
      <c r="V814" s="1445"/>
      <c r="W814" s="1445"/>
      <c r="X814" s="1445"/>
      <c r="Y814" s="1445"/>
      <c r="Z814" s="1445"/>
    </row>
    <row r="815" spans="1:26" ht="19.5" hidden="1">
      <c r="A815" s="1441"/>
      <c r="B815" s="1446"/>
      <c r="C815" s="1442"/>
      <c r="D815" s="1625" t="s">
        <v>21</v>
      </c>
      <c r="E815" s="987"/>
      <c r="F815" s="987"/>
      <c r="G815" s="1444"/>
      <c r="H815" s="1595" t="s">
        <v>12</v>
      </c>
      <c r="I815" s="1082"/>
      <c r="J815" s="1082"/>
      <c r="K815" s="1083"/>
      <c r="L815" s="1478">
        <f t="shared" ref="L815:N815" si="332">L816+L817</f>
        <v>0</v>
      </c>
      <c r="M815" s="1478">
        <f t="shared" si="332"/>
        <v>0</v>
      </c>
      <c r="N815" s="1478">
        <f t="shared" si="332"/>
        <v>0</v>
      </c>
      <c r="O815" s="1478">
        <f t="shared" ref="O815:O817" si="333">IF(L815&gt;0,N815*100/L815,0)</f>
        <v>0</v>
      </c>
      <c r="P815" s="1478">
        <f t="shared" ref="P815:P817" si="334">IF(M815&gt;0,N815*100/M815,0)</f>
        <v>0</v>
      </c>
      <c r="Q815" s="1445"/>
      <c r="R815" s="1445"/>
      <c r="S815" s="1445"/>
      <c r="T815" s="1445"/>
      <c r="U815" s="1445"/>
      <c r="V815" s="1445"/>
      <c r="W815" s="1445"/>
      <c r="X815" s="1445"/>
      <c r="Y815" s="1445"/>
      <c r="Z815" s="1445"/>
    </row>
    <row r="816" spans="1:26" ht="18.75" hidden="1">
      <c r="A816" s="1441"/>
      <c r="B816" s="1446"/>
      <c r="C816" s="1442"/>
      <c r="D816" s="1446"/>
      <c r="E816" s="1442" t="s">
        <v>18</v>
      </c>
      <c r="F816" s="1442"/>
      <c r="G816" s="1444"/>
      <c r="H816" s="1081" t="s">
        <v>12</v>
      </c>
      <c r="I816" s="1082"/>
      <c r="J816" s="1082"/>
      <c r="K816" s="1083"/>
      <c r="L816" s="957">
        <v>0</v>
      </c>
      <c r="M816" s="957">
        <v>0</v>
      </c>
      <c r="N816" s="957">
        <v>0</v>
      </c>
      <c r="O816" s="957">
        <f t="shared" si="333"/>
        <v>0</v>
      </c>
      <c r="P816" s="957">
        <f t="shared" si="334"/>
        <v>0</v>
      </c>
      <c r="Q816" s="1445"/>
      <c r="R816" s="1445"/>
      <c r="S816" s="1445"/>
      <c r="T816" s="1445"/>
      <c r="U816" s="1445"/>
      <c r="V816" s="1445"/>
      <c r="W816" s="1445"/>
      <c r="X816" s="1445"/>
      <c r="Y816" s="1445"/>
      <c r="Z816" s="1445"/>
    </row>
    <row r="817" spans="1:26" ht="18.75" hidden="1">
      <c r="A817" s="1441"/>
      <c r="B817" s="1446"/>
      <c r="C817" s="1442"/>
      <c r="D817" s="1446"/>
      <c r="E817" s="1442" t="s">
        <v>19</v>
      </c>
      <c r="F817" s="1442"/>
      <c r="G817" s="1444"/>
      <c r="H817" s="1085" t="s">
        <v>12</v>
      </c>
      <c r="I817" s="1082"/>
      <c r="J817" s="1082"/>
      <c r="K817" s="1083"/>
      <c r="L817" s="957">
        <v>0</v>
      </c>
      <c r="M817" s="957">
        <v>0</v>
      </c>
      <c r="N817" s="957">
        <v>0</v>
      </c>
      <c r="O817" s="957">
        <f t="shared" si="333"/>
        <v>0</v>
      </c>
      <c r="P817" s="957">
        <f t="shared" si="334"/>
        <v>0</v>
      </c>
      <c r="Q817" s="1445"/>
      <c r="R817" s="1445"/>
      <c r="S817" s="1445"/>
      <c r="T817" s="1445"/>
      <c r="U817" s="1445"/>
      <c r="V817" s="1445"/>
      <c r="W817" s="1445"/>
      <c r="X817" s="1445"/>
      <c r="Y817" s="1445"/>
      <c r="Z817" s="1445"/>
    </row>
    <row r="818" spans="1:26" ht="19.5" hidden="1">
      <c r="A818" s="1454"/>
      <c r="B818" s="1455"/>
      <c r="C818" s="1442" t="s">
        <v>16</v>
      </c>
      <c r="D818" s="1626" t="s">
        <v>38</v>
      </c>
      <c r="E818" s="1482"/>
      <c r="F818" s="1482"/>
      <c r="G818" s="1483"/>
      <c r="H818" s="1216"/>
      <c r="I818" s="1082"/>
      <c r="J818" s="1082"/>
      <c r="K818" s="1083"/>
      <c r="L818" s="1083"/>
      <c r="M818" s="1083"/>
      <c r="N818" s="1083"/>
      <c r="O818" s="1083"/>
      <c r="P818" s="1083"/>
      <c r="Q818" s="1445"/>
      <c r="R818" s="1445"/>
      <c r="S818" s="1445"/>
      <c r="T818" s="1445"/>
      <c r="U818" s="1445"/>
      <c r="V818" s="1445"/>
      <c r="W818" s="1445"/>
      <c r="X818" s="1445"/>
      <c r="Y818" s="1445"/>
      <c r="Z818" s="1445"/>
    </row>
    <row r="819" spans="1:26" ht="19.5" hidden="1" thickBot="1">
      <c r="A819" s="1627"/>
      <c r="B819" s="1628"/>
      <c r="C819" s="1629"/>
      <c r="D819" s="1628"/>
      <c r="E819" s="1629" t="s">
        <v>324</v>
      </c>
      <c r="F819" s="1629"/>
      <c r="G819" s="1630"/>
      <c r="H819" s="1631" t="s">
        <v>46</v>
      </c>
      <c r="I819" s="1632"/>
      <c r="J819" s="1632"/>
      <c r="K819" s="1633"/>
      <c r="L819" s="1633"/>
      <c r="M819" s="1633"/>
      <c r="N819" s="1633"/>
      <c r="O819" s="1633"/>
      <c r="P819" s="1633"/>
      <c r="Q819" s="1445"/>
      <c r="R819" s="1445"/>
      <c r="S819" s="1445"/>
      <c r="T819" s="1445"/>
      <c r="U819" s="1445"/>
      <c r="V819" s="1445"/>
      <c r="W819" s="1445"/>
      <c r="X819" s="1445"/>
      <c r="Y819" s="1445"/>
      <c r="Z819" s="1445"/>
    </row>
    <row r="820" spans="1:26" ht="19.5">
      <c r="A820" s="1634" t="s">
        <v>332</v>
      </c>
      <c r="B820" s="1635"/>
      <c r="C820" s="1635"/>
      <c r="D820" s="1636"/>
      <c r="E820" s="1635"/>
      <c r="F820" s="1635"/>
      <c r="G820" s="1637"/>
      <c r="H820" s="163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1639"/>
      <c r="J820" s="1639"/>
      <c r="K820" s="1640"/>
      <c r="L820" s="1640"/>
      <c r="M820" s="1640"/>
      <c r="N820" s="1640"/>
      <c r="O820" s="1640"/>
      <c r="P820" s="1640"/>
      <c r="Q820" s="1419"/>
      <c r="R820" s="1419"/>
      <c r="S820" s="1419"/>
      <c r="T820" s="1419"/>
      <c r="U820" s="1419"/>
      <c r="V820" s="1419"/>
      <c r="W820" s="1419"/>
      <c r="X820" s="1419"/>
      <c r="Y820" s="1419"/>
      <c r="Z820" s="1419"/>
    </row>
    <row r="821" spans="1:26" ht="18.75">
      <c r="A821" s="1567"/>
      <c r="B821" s="1418" t="s">
        <v>326</v>
      </c>
      <c r="C821" s="1418"/>
      <c r="D821" s="1417"/>
      <c r="E821" s="1418"/>
      <c r="F821" s="1418"/>
      <c r="G821" s="1103"/>
      <c r="H821" s="948" t="s">
        <v>12</v>
      </c>
      <c r="I821" s="949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949">
        <f ca="1">IFERROR(__xludf.DUMMYFUNCTION("IMPORTRANGE(""https://docs.google.com/spreadsheets/d/19vJNZY_5yjcGF2XGBMNZRCAIB0Kwfpjp8YEOfu-bneM/edit?usp=sharing"",""งานกองทุน!F62"")"),1118030.17)</f>
        <v>1118030.17</v>
      </c>
      <c r="K821" s="950">
        <f t="shared" ref="K821:K828" ca="1" si="335">IF(I821&gt;0,J821*100/I821,0)</f>
        <v>55.334723777898787</v>
      </c>
      <c r="L821" s="950"/>
      <c r="M821" s="950"/>
      <c r="N821" s="950"/>
      <c r="O821" s="950"/>
      <c r="P821" s="950"/>
      <c r="Q821" s="1419"/>
      <c r="R821" s="1419"/>
      <c r="S821" s="1419"/>
      <c r="T821" s="1419"/>
      <c r="U821" s="1419"/>
      <c r="V821" s="1419"/>
      <c r="W821" s="1419"/>
      <c r="X821" s="1419"/>
      <c r="Y821" s="1419"/>
      <c r="Z821" s="1419"/>
    </row>
    <row r="822" spans="1:26" ht="18.75">
      <c r="A822" s="1567"/>
      <c r="B822" s="1418"/>
      <c r="C822" s="1418"/>
      <c r="D822" s="1417"/>
      <c r="E822" s="1418"/>
      <c r="F822" s="1418"/>
      <c r="G822" s="1103"/>
      <c r="H822" s="948" t="s">
        <v>35</v>
      </c>
      <c r="I822" s="949">
        <f ca="1">IFERROR(__xludf.DUMMYFUNCTION("IMPORTRANGE(""https://docs.google.com/spreadsheets/d/19vJNZY_5yjcGF2XGBMNZRCAIB0Kwfpjp8YEOfu-bneM/edit?usp=sharing"",""งานกองทุน!C62"")"),141)</f>
        <v>141</v>
      </c>
      <c r="J822" s="949">
        <f ca="1">IFERROR(__xludf.DUMMYFUNCTION("IMPORTRANGE(""https://docs.google.com/spreadsheets/d/19vJNZY_5yjcGF2XGBMNZRCAIB0Kwfpjp8YEOfu-bneM/edit?usp=sharing"",""งานกองทุน!E62"")"),76)</f>
        <v>76</v>
      </c>
      <c r="K822" s="950">
        <f t="shared" ca="1" si="335"/>
        <v>53.900709219858157</v>
      </c>
      <c r="L822" s="950"/>
      <c r="M822" s="950"/>
      <c r="N822" s="950"/>
      <c r="O822" s="950"/>
      <c r="P822" s="950"/>
      <c r="Q822" s="1419"/>
      <c r="R822" s="1419"/>
      <c r="S822" s="1419"/>
      <c r="T822" s="1419"/>
      <c r="U822" s="1419"/>
      <c r="V822" s="1419"/>
      <c r="W822" s="1419"/>
      <c r="X822" s="1419"/>
      <c r="Y822" s="1419"/>
      <c r="Z822" s="1419"/>
    </row>
    <row r="823" spans="1:26" ht="18.75">
      <c r="A823" s="1567"/>
      <c r="B823" s="1418" t="s">
        <v>327</v>
      </c>
      <c r="C823" s="1418"/>
      <c r="D823" s="1417"/>
      <c r="E823" s="1418"/>
      <c r="F823" s="1418"/>
      <c r="G823" s="1103"/>
      <c r="H823" s="948" t="s">
        <v>12</v>
      </c>
      <c r="I823" s="949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949">
        <f ca="1">IFERROR(__xludf.DUMMYFUNCTION("IMPORTRANGE(""https://docs.google.com/spreadsheets/d/19vJNZY_5yjcGF2XGBMNZRCAIB0Kwfpjp8YEOfu-bneM/edit?usp=sharing"",""งานกองทุน!K62"")"),46133.25)</f>
        <v>46133.25</v>
      </c>
      <c r="K823" s="950">
        <f t="shared" ca="1" si="335"/>
        <v>20.133528303049484</v>
      </c>
      <c r="L823" s="950"/>
      <c r="M823" s="950"/>
      <c r="N823" s="950"/>
      <c r="O823" s="950"/>
      <c r="P823" s="950"/>
      <c r="Q823" s="1419"/>
      <c r="R823" s="1419"/>
      <c r="S823" s="1419"/>
      <c r="T823" s="1419"/>
      <c r="U823" s="1419"/>
      <c r="V823" s="1419"/>
      <c r="W823" s="1419"/>
      <c r="X823" s="1419"/>
      <c r="Y823" s="1419"/>
      <c r="Z823" s="1419"/>
    </row>
    <row r="824" spans="1:26" ht="18.75">
      <c r="A824" s="1567"/>
      <c r="B824" s="1418"/>
      <c r="C824" s="1418"/>
      <c r="D824" s="1417"/>
      <c r="E824" s="1418"/>
      <c r="F824" s="1418"/>
      <c r="G824" s="1103"/>
      <c r="H824" s="948" t="s">
        <v>35</v>
      </c>
      <c r="I824" s="949">
        <f ca="1">IFERROR(__xludf.DUMMYFUNCTION("IMPORTRANGE(""https://docs.google.com/spreadsheets/d/19vJNZY_5yjcGF2XGBMNZRCAIB0Kwfpjp8YEOfu-bneM/edit?usp=sharing"",""งานกองทุน!H62"")"),16)</f>
        <v>16</v>
      </c>
      <c r="J824" s="949">
        <f ca="1">IFERROR(__xludf.DUMMYFUNCTION("IMPORTRANGE(""https://docs.google.com/spreadsheets/d/19vJNZY_5yjcGF2XGBMNZRCAIB0Kwfpjp8YEOfu-bneM/edit?usp=sharing"",""งานกองทุน!J62"")"),11)</f>
        <v>11</v>
      </c>
      <c r="K824" s="950">
        <f t="shared" ca="1" si="335"/>
        <v>68.75</v>
      </c>
      <c r="L824" s="950"/>
      <c r="M824" s="950"/>
      <c r="N824" s="950"/>
      <c r="O824" s="950"/>
      <c r="P824" s="950"/>
      <c r="Q824" s="1419"/>
      <c r="R824" s="1419"/>
      <c r="S824" s="1419"/>
      <c r="T824" s="1419"/>
      <c r="U824" s="1419"/>
      <c r="V824" s="1419"/>
      <c r="W824" s="1419"/>
      <c r="X824" s="1419"/>
      <c r="Y824" s="1419"/>
      <c r="Z824" s="1419"/>
    </row>
    <row r="825" spans="1:26" ht="18.75">
      <c r="A825" s="1567"/>
      <c r="B825" s="1418" t="s">
        <v>328</v>
      </c>
      <c r="C825" s="1418"/>
      <c r="D825" s="1417"/>
      <c r="E825" s="1418"/>
      <c r="F825" s="1418"/>
      <c r="G825" s="1103"/>
      <c r="H825" s="948" t="s">
        <v>12</v>
      </c>
      <c r="I825" s="949">
        <f ca="1">IFERROR(__xludf.DUMMYFUNCTION("IMPORTRANGE(""https://docs.google.com/spreadsheets/d/19vJNZY_5yjcGF2XGBMNZRCAIB0Kwfpjp8YEOfu-bneM/edit?usp=sharing"",""งานกองทุน!N62"")"),231.96)</f>
        <v>231.96</v>
      </c>
      <c r="J825" s="949">
        <f ca="1">IFERROR(__xludf.DUMMYFUNCTION("IMPORTRANGE(""https://docs.google.com/spreadsheets/d/19vJNZY_5yjcGF2XGBMNZRCAIB0Kwfpjp8YEOfu-bneM/edit?usp=sharing"",""งานกองทุน!P62"")"),231.96)</f>
        <v>231.96</v>
      </c>
      <c r="K825" s="950">
        <f t="shared" ca="1" si="335"/>
        <v>100</v>
      </c>
      <c r="L825" s="950"/>
      <c r="M825" s="950"/>
      <c r="N825" s="950"/>
      <c r="O825" s="950"/>
      <c r="P825" s="950"/>
      <c r="Q825" s="1419"/>
      <c r="R825" s="1419"/>
      <c r="S825" s="1419"/>
      <c r="T825" s="1419"/>
      <c r="U825" s="1419"/>
      <c r="V825" s="1419"/>
      <c r="W825" s="1419"/>
      <c r="X825" s="1419"/>
      <c r="Y825" s="1419"/>
      <c r="Z825" s="1419"/>
    </row>
    <row r="826" spans="1:26" ht="18.75">
      <c r="A826" s="1567"/>
      <c r="B826" s="1418"/>
      <c r="C826" s="1418"/>
      <c r="D826" s="1417"/>
      <c r="E826" s="1418"/>
      <c r="F826" s="1418"/>
      <c r="G826" s="1103"/>
      <c r="H826" s="948" t="s">
        <v>35</v>
      </c>
      <c r="I826" s="949">
        <f ca="1">IFERROR(__xludf.DUMMYFUNCTION("IMPORTRANGE(""https://docs.google.com/spreadsheets/d/19vJNZY_5yjcGF2XGBMNZRCAIB0Kwfpjp8YEOfu-bneM/edit?usp=sharing"",""งานกองทุน!M62"")"),1)</f>
        <v>1</v>
      </c>
      <c r="J826" s="949">
        <f ca="1">IFERROR(__xludf.DUMMYFUNCTION("IMPORTRANGE(""https://docs.google.com/spreadsheets/d/19vJNZY_5yjcGF2XGBMNZRCAIB0Kwfpjp8YEOfu-bneM/edit?usp=sharing"",""งานกองทุน!O62"")"),1)</f>
        <v>1</v>
      </c>
      <c r="K826" s="950">
        <f t="shared" ca="1" si="335"/>
        <v>100</v>
      </c>
      <c r="L826" s="950"/>
      <c r="M826" s="950"/>
      <c r="N826" s="950"/>
      <c r="O826" s="950"/>
      <c r="P826" s="950"/>
      <c r="Q826" s="1419"/>
      <c r="R826" s="1419"/>
      <c r="S826" s="1419"/>
      <c r="T826" s="1419"/>
      <c r="U826" s="1419"/>
      <c r="V826" s="1419"/>
      <c r="W826" s="1419"/>
      <c r="X826" s="1419"/>
      <c r="Y826" s="1419"/>
      <c r="Z826" s="1419"/>
    </row>
    <row r="827" spans="1:26" ht="18.75">
      <c r="A827" s="1567"/>
      <c r="B827" s="1418" t="s">
        <v>329</v>
      </c>
      <c r="C827" s="1418"/>
      <c r="D827" s="1417"/>
      <c r="E827" s="1418"/>
      <c r="F827" s="1418"/>
      <c r="G827" s="1103"/>
      <c r="H827" s="948" t="s">
        <v>12</v>
      </c>
      <c r="I827" s="949">
        <f ca="1">IFERROR(__xludf.DUMMYFUNCTION("IMPORTRANGE(""https://docs.google.com/spreadsheets/d/19vJNZY_5yjcGF2XGBMNZRCAIB0Kwfpjp8YEOfu-bneM/edit?usp=sharing"",""งานกองทุน!S62"")"),2000000)</f>
        <v>2000000</v>
      </c>
      <c r="J827" s="949">
        <f ca="1">IFERROR(__xludf.DUMMYFUNCTION("IMPORTRANGE(""https://docs.google.com/spreadsheets/d/19vJNZY_5yjcGF2XGBMNZRCAIB0Kwfpjp8YEOfu-bneM/edit?usp=sharing"",""งานกองทุน!U62"")"),1990000)</f>
        <v>1990000</v>
      </c>
      <c r="K827" s="950">
        <f t="shared" ca="1" si="335"/>
        <v>99.5</v>
      </c>
      <c r="L827" s="950"/>
      <c r="M827" s="950"/>
      <c r="N827" s="950"/>
      <c r="O827" s="950"/>
      <c r="P827" s="950"/>
      <c r="Q827" s="1419"/>
      <c r="R827" s="1419"/>
      <c r="S827" s="1419"/>
      <c r="T827" s="1419"/>
      <c r="U827" s="1419"/>
      <c r="V827" s="1419"/>
      <c r="W827" s="1419"/>
      <c r="X827" s="1419"/>
      <c r="Y827" s="1419"/>
      <c r="Z827" s="1419"/>
    </row>
    <row r="828" spans="1:26" ht="18.75">
      <c r="A828" s="1568"/>
      <c r="B828" s="1570"/>
      <c r="C828" s="1570"/>
      <c r="D828" s="1569"/>
      <c r="E828" s="1570"/>
      <c r="F828" s="1570"/>
      <c r="G828" s="1641"/>
      <c r="H828" s="1642" t="s">
        <v>35</v>
      </c>
      <c r="I828" s="1244">
        <f ca="1">IFERROR(__xludf.DUMMYFUNCTION("IMPORTRANGE(""https://docs.google.com/spreadsheets/d/19vJNZY_5yjcGF2XGBMNZRCAIB0Kwfpjp8YEOfu-bneM/edit?usp=sharing"",""งานกองทุน!R62"")"),66)</f>
        <v>66</v>
      </c>
      <c r="J828" s="1244">
        <f ca="1">IFERROR(__xludf.DUMMYFUNCTION("IMPORTRANGE(""https://docs.google.com/spreadsheets/d/19vJNZY_5yjcGF2XGBMNZRCAIB0Kwfpjp8YEOfu-bneM/edit?usp=sharing"",""งานกองทุน!T62"")"),48)</f>
        <v>48</v>
      </c>
      <c r="K828" s="1349">
        <f t="shared" ca="1" si="335"/>
        <v>72.727272727272734</v>
      </c>
      <c r="L828" s="1349"/>
      <c r="M828" s="1349"/>
      <c r="N828" s="1349"/>
      <c r="O828" s="1349"/>
      <c r="P828" s="1349"/>
      <c r="Q828" s="1419"/>
      <c r="R828" s="1419"/>
      <c r="S828" s="1419"/>
      <c r="T828" s="1419"/>
      <c r="U828" s="1419"/>
      <c r="V828" s="1419"/>
      <c r="W828" s="1419"/>
      <c r="X828" s="1419"/>
      <c r="Y828" s="1419"/>
      <c r="Z828" s="141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0D4C5-CF1A-43A3-95E8-A0D0E0D144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3434323</v>
      </c>
      <c r="N8" s="22">
        <f t="shared" ca="1" si="0"/>
        <v>2598655.38</v>
      </c>
      <c r="O8" s="22">
        <f t="shared" ref="O8:O16" ca="1" si="1">IF(L8&gt;0,N8*100/L8,0)</f>
        <v>68.432616271215537</v>
      </c>
      <c r="P8" s="22">
        <f t="shared" ref="P8:P16" ca="1" si="2">IF(M8&gt;0,N8*100/M8,0)</f>
        <v>75.66718040207634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3434323</v>
      </c>
      <c r="N10" s="30">
        <f t="shared" ca="1" si="3"/>
        <v>2598655.38</v>
      </c>
      <c r="O10" s="30">
        <f t="shared" ca="1" si="1"/>
        <v>68.432616271215537</v>
      </c>
      <c r="P10" s="30">
        <f t="shared" ca="1" si="2"/>
        <v>75.66718040207634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2832923</v>
      </c>
      <c r="N11" s="497">
        <f t="shared" ca="1" si="4"/>
        <v>1997255.38</v>
      </c>
      <c r="O11" s="497">
        <f t="shared" ca="1" si="1"/>
        <v>62.492482930970127</v>
      </c>
      <c r="P11" s="497">
        <f t="shared" ca="1" si="2"/>
        <v>70.501576640099287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2832923</v>
      </c>
      <c r="N13" s="93">
        <f t="shared" ca="1" si="5"/>
        <v>1997255.38</v>
      </c>
      <c r="O13" s="93">
        <f t="shared" ca="1" si="1"/>
        <v>62.492482930970127</v>
      </c>
      <c r="P13" s="93">
        <f t="shared" ca="1" si="2"/>
        <v>70.501576640099287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2688640</v>
      </c>
      <c r="N18" s="22">
        <f t="shared" ca="1" si="8"/>
        <v>2106812.38</v>
      </c>
      <c r="O18" s="22">
        <f t="shared" ref="O18:O26" ca="1" si="9">IF(L18&gt;0,N18*100/L18,0)</f>
        <v>69.037109686044872</v>
      </c>
      <c r="P18" s="22">
        <f t="shared" ref="P18:P26" ca="1" si="10">IF(M18&gt;0,N18*100/M18,0)</f>
        <v>78.35977966555582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2688640</v>
      </c>
      <c r="N20" s="30">
        <f t="shared" ca="1" si="11"/>
        <v>2106812.38</v>
      </c>
      <c r="O20" s="30">
        <f t="shared" ca="1" si="9"/>
        <v>69.037109686044872</v>
      </c>
      <c r="P20" s="30">
        <f t="shared" ca="1" si="10"/>
        <v>78.35977966555582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2087240</v>
      </c>
      <c r="N21" s="497">
        <f t="shared" ca="1" si="12"/>
        <v>1505412.38</v>
      </c>
      <c r="O21" s="497">
        <f t="shared" ca="1" si="9"/>
        <v>61.437629524427521</v>
      </c>
      <c r="P21" s="497">
        <f t="shared" ca="1" si="10"/>
        <v>72.124546290795507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2087240</v>
      </c>
      <c r="N23" s="93">
        <f t="shared" ca="1" si="13"/>
        <v>1505412.38</v>
      </c>
      <c r="O23" s="93">
        <f t="shared" ca="1" si="9"/>
        <v>61.437629524427521</v>
      </c>
      <c r="P23" s="93">
        <f t="shared" ca="1" si="10"/>
        <v>72.124546290795507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745683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745683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2688640</v>
      </c>
      <c r="N37" s="59">
        <f t="shared" ca="1" si="24"/>
        <v>2106812.38</v>
      </c>
      <c r="O37" s="59">
        <f t="shared" ca="1" si="17"/>
        <v>69.037109686044872</v>
      </c>
      <c r="P37" s="59">
        <f t="shared" ca="1" si="18"/>
        <v>78.35977966555582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318960</v>
      </c>
      <c r="N41" s="85">
        <f t="shared" ca="1" si="25"/>
        <v>141835</v>
      </c>
      <c r="O41" s="85">
        <f t="shared" ref="O41:O49" ca="1" si="26">IF(L41&gt;0,N41*100/L41,0)</f>
        <v>45.177576047141265</v>
      </c>
      <c r="P41" s="85">
        <f t="shared" ref="P41:P49" ca="1" si="27">IF(M41&gt;0,N41*100/M41,0)</f>
        <v>44.467958364685224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318960</v>
      </c>
      <c r="N43" s="92">
        <f t="shared" ca="1" si="28"/>
        <v>141835</v>
      </c>
      <c r="O43" s="92">
        <f t="shared" ca="1" si="26"/>
        <v>45.177576047141265</v>
      </c>
      <c r="P43" s="92">
        <f t="shared" ca="1" si="27"/>
        <v>44.467958364685224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318960</v>
      </c>
      <c r="N44" s="497">
        <f t="shared" ca="1" si="29"/>
        <v>141835</v>
      </c>
      <c r="O44" s="497">
        <f t="shared" ca="1" si="26"/>
        <v>45.177576047141265</v>
      </c>
      <c r="P44" s="497">
        <f t="shared" ca="1" si="27"/>
        <v>44.467958364685224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IFERROR(__xludf.DUMMYFUNCTION("IMPORTRANGE(""https://docs.google.com/spreadsheets/d/1MeEWN-I1oV_STSDYn1IFDPWt_1FKiwhDph83XaGc0o0/edit?usp=sharing"",""งบพรบ!R63"")"),318960)</f>
        <v>318960</v>
      </c>
      <c r="N46" s="93">
        <f ca="1">IFERROR(__xludf.DUMMYFUNCTION("IMPORTRANGE(""https://docs.google.com/spreadsheets/d/1MeEWN-I1oV_STSDYn1IFDPWt_1FKiwhDph83XaGc0o0/edit?usp=sharing"",""งบพรบ!T63"")"),141835)</f>
        <v>141835</v>
      </c>
      <c r="O46" s="93">
        <f t="shared" ca="1" si="26"/>
        <v>45.177576047141265</v>
      </c>
      <c r="P46" s="93">
        <f t="shared" ca="1" si="27"/>
        <v>44.467958364685224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307120</v>
      </c>
      <c r="N53" s="116">
        <f t="shared" ca="1" si="31"/>
        <v>239060.18</v>
      </c>
      <c r="O53" s="116">
        <f t="shared" ref="O53:O61" ca="1" si="32">IF(L53&gt;0,N53*100/L53,0)</f>
        <v>71.574904191616767</v>
      </c>
      <c r="P53" s="116">
        <f t="shared" ref="P53:P61" ca="1" si="33">IF(M53&gt;0,N53*100/M53,0)</f>
        <v>77.839339671789531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307120</v>
      </c>
      <c r="N55" s="123">
        <f t="shared" ca="1" si="34"/>
        <v>239060.18</v>
      </c>
      <c r="O55" s="123">
        <f t="shared" ca="1" si="32"/>
        <v>71.574904191616767</v>
      </c>
      <c r="P55" s="123">
        <f t="shared" ca="1" si="33"/>
        <v>77.839339671789531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307120</v>
      </c>
      <c r="N56" s="497">
        <f t="shared" ca="1" si="35"/>
        <v>239060.18</v>
      </c>
      <c r="O56" s="497">
        <f t="shared" ca="1" si="32"/>
        <v>71.574904191616767</v>
      </c>
      <c r="P56" s="497">
        <f t="shared" ca="1" si="33"/>
        <v>77.839339671789531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IFERROR(__xludf.DUMMYFUNCTION("IMPORTRANGE(""https://docs.google.com/spreadsheets/d/1MeEWN-I1oV_STSDYn1IFDPWt_1FKiwhDph83XaGc0o0/edit?usp=sharing"",""งบพรบ!AB63"")"),307120)</f>
        <v>307120</v>
      </c>
      <c r="N58" s="93">
        <f ca="1">IFERROR(__xludf.DUMMYFUNCTION("IMPORTRANGE(""https://docs.google.com/spreadsheets/d/1MeEWN-I1oV_STSDYn1IFDPWt_1FKiwhDph83XaGc0o0/edit?usp=sharing"",""งบพรบ!AD63"")"),239060.18)</f>
        <v>239060.18</v>
      </c>
      <c r="O58" s="93">
        <f t="shared" ca="1" si="32"/>
        <v>71.574904191616767</v>
      </c>
      <c r="P58" s="93">
        <f t="shared" ca="1" si="33"/>
        <v>77.839339671789531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89940</v>
      </c>
      <c r="N88" s="155">
        <f t="shared" ca="1" si="49"/>
        <v>89020</v>
      </c>
      <c r="O88" s="155">
        <f t="shared" ref="O88:O96" ca="1" si="50">IF(L88&gt;0,N88*100/L88,0)</f>
        <v>103.70456663560113</v>
      </c>
      <c r="P88" s="155">
        <f t="shared" ref="P88:P96" ca="1" si="51">IF(M88&gt;0,N88*100/M88,0)</f>
        <v>98.977095841672224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89940</v>
      </c>
      <c r="N90" s="93">
        <f t="shared" ca="1" si="52"/>
        <v>89020</v>
      </c>
      <c r="O90" s="93">
        <f t="shared" ca="1" si="50"/>
        <v>103.70456663560113</v>
      </c>
      <c r="P90" s="93">
        <f t="shared" ca="1" si="51"/>
        <v>98.977095841672224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89940</v>
      </c>
      <c r="N91" s="497">
        <f t="shared" ca="1" si="53"/>
        <v>89020</v>
      </c>
      <c r="O91" s="497">
        <f t="shared" ca="1" si="50"/>
        <v>103.70456663560113</v>
      </c>
      <c r="P91" s="497">
        <f t="shared" ca="1" si="51"/>
        <v>98.977095841672224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IFERROR(__xludf.DUMMYFUNCTION("IMPORTRANGE(""https://docs.google.com/spreadsheets/d/1MeEWN-I1oV_STSDYn1IFDPWt_1FKiwhDph83XaGc0o0/edit?usp=sharing"",""งบพรบ!AV63"")"),89940)</f>
        <v>89940</v>
      </c>
      <c r="N93" s="93">
        <f ca="1">IFERROR(__xludf.DUMMYFUNCTION("IMPORTRANGE(""https://docs.google.com/spreadsheets/d/1MeEWN-I1oV_STSDYn1IFDPWt_1FKiwhDph83XaGc0o0/edit?usp=sharing"",""งบพรบ!AX63"")"),89020)</f>
        <v>89020</v>
      </c>
      <c r="O93" s="93">
        <f t="shared" ca="1" si="50"/>
        <v>103.70456663560113</v>
      </c>
      <c r="P93" s="93">
        <f t="shared" ca="1" si="51"/>
        <v>98.977095841672224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895550</v>
      </c>
      <c r="N132" s="155">
        <f t="shared" ca="1" si="69"/>
        <v>781811.19999999995</v>
      </c>
      <c r="O132" s="155">
        <f t="shared" ref="O132:O140" ca="1" si="70">IF(L132&gt;0,N132*100/L132,0)</f>
        <v>76.834971302775372</v>
      </c>
      <c r="P132" s="155">
        <f t="shared" ref="P132:P140" ca="1" si="71">IF(M132&gt;0,N132*100/M132,0)</f>
        <v>87.299558930266315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895550</v>
      </c>
      <c r="N134" s="93">
        <f t="shared" ca="1" si="72"/>
        <v>781811.19999999995</v>
      </c>
      <c r="O134" s="93">
        <f t="shared" ca="1" si="70"/>
        <v>76.834971302775372</v>
      </c>
      <c r="P134" s="93">
        <f t="shared" ca="1" si="71"/>
        <v>87.299558930266315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483550</v>
      </c>
      <c r="N135" s="497">
        <f t="shared" ca="1" si="73"/>
        <v>369811.20000000001</v>
      </c>
      <c r="O135" s="497">
        <f t="shared" ca="1" si="70"/>
        <v>61.073325406262384</v>
      </c>
      <c r="P135" s="497">
        <f t="shared" ca="1" si="71"/>
        <v>76.478378657843038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IFERROR(__xludf.DUMMYFUNCTION("IMPORTRANGE(""https://docs.google.com/spreadsheets/d/1MeEWN-I1oV_STSDYn1IFDPWt_1FKiwhDph83XaGc0o0/edit?usp=sharing"",""งบพรบ!BP63"")"),483550)</f>
        <v>483550</v>
      </c>
      <c r="N137" s="93">
        <f ca="1">IFERROR(__xludf.DUMMYFUNCTION("IMPORTRANGE(""https://docs.google.com/spreadsheets/d/1MeEWN-I1oV_STSDYn1IFDPWt_1FKiwhDph83XaGc0o0/edit?usp=sharing"",""งบพรบ!BR63"")"),369811.2)</f>
        <v>369811.20000000001</v>
      </c>
      <c r="O137" s="93">
        <f t="shared" ca="1" si="70"/>
        <v>61.073325406262384</v>
      </c>
      <c r="P137" s="93">
        <f t="shared" ca="1" si="71"/>
        <v>76.478378657843038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34430</v>
      </c>
      <c r="N165" s="155">
        <f t="shared" ca="1" si="84"/>
        <v>34430</v>
      </c>
      <c r="O165" s="155">
        <f t="shared" ref="O165:O173" ca="1" si="85">IF(L165&gt;0,N165*100/L165,0)</f>
        <v>163.56294536817103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34430</v>
      </c>
      <c r="N167" s="93">
        <f t="shared" ca="1" si="87"/>
        <v>34430</v>
      </c>
      <c r="O167" s="93">
        <f t="shared" ca="1" si="85"/>
        <v>163.56294536817103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34430</v>
      </c>
      <c r="N168" s="497">
        <f t="shared" ca="1" si="88"/>
        <v>34430</v>
      </c>
      <c r="O168" s="497">
        <f t="shared" ca="1" si="85"/>
        <v>163.56294536817103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IFERROR(__xludf.DUMMYFUNCTION("IMPORTRANGE(""https://docs.google.com/spreadsheets/d/1MeEWN-I1oV_STSDYn1IFDPWt_1FKiwhDph83XaGc0o0/edit?usp=sharing"",""งบพรบ!CJ63"")"),34430)</f>
        <v>34430</v>
      </c>
      <c r="N170" s="93">
        <f ca="1">IFERROR(__xludf.DUMMYFUNCTION("IMPORTRANGE(""https://docs.google.com/spreadsheets/d/1MeEWN-I1oV_STSDYn1IFDPWt_1FKiwhDph83XaGc0o0/edit?usp=sharing"",""งบพรบ!CL63"")"),34430)</f>
        <v>34430</v>
      </c>
      <c r="O170" s="93">
        <f t="shared" ca="1" si="85"/>
        <v>163.56294536817103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105500</v>
      </c>
      <c r="N181" s="155">
        <f t="shared" ca="1" si="92"/>
        <v>84420</v>
      </c>
      <c r="O181" s="155">
        <f t="shared" ref="O181:O189" ca="1" si="93">IF(L181&gt;0,N181*100/L181,0)</f>
        <v>75.375</v>
      </c>
      <c r="P181" s="155">
        <f t="shared" ref="P181:P189" ca="1" si="94">IF(M181&gt;0,N181*100/M181,0)</f>
        <v>80.018957345971558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105500</v>
      </c>
      <c r="N183" s="93">
        <f t="shared" ca="1" si="95"/>
        <v>84420</v>
      </c>
      <c r="O183" s="93">
        <f t="shared" ca="1" si="93"/>
        <v>75.375</v>
      </c>
      <c r="P183" s="93">
        <f t="shared" ca="1" si="94"/>
        <v>80.018957345971558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105500</v>
      </c>
      <c r="N184" s="497">
        <f t="shared" ca="1" si="96"/>
        <v>84420</v>
      </c>
      <c r="O184" s="497">
        <f t="shared" ca="1" si="93"/>
        <v>75.375</v>
      </c>
      <c r="P184" s="497">
        <f t="shared" ca="1" si="94"/>
        <v>80.018957345971558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IFERROR(__xludf.DUMMYFUNCTION("IMPORTRANGE(""https://docs.google.com/spreadsheets/d/1MeEWN-I1oV_STSDYn1IFDPWt_1FKiwhDph83XaGc0o0/edit?usp=sharing"",""งบพรบ!CT63"")"),105500)</f>
        <v>105500</v>
      </c>
      <c r="N186" s="93">
        <f ca="1">IFERROR(__xludf.DUMMYFUNCTION("IMPORTRANGE(""https://docs.google.com/spreadsheets/d/1MeEWN-I1oV_STSDYn1IFDPWt_1FKiwhDph83XaGc0o0/edit?usp=sharing"",""งบพรบ!CV63"")"),84420)</f>
        <v>84420</v>
      </c>
      <c r="O186" s="93">
        <f t="shared" ca="1" si="93"/>
        <v>75.375</v>
      </c>
      <c r="P186" s="93">
        <f t="shared" ca="1" si="94"/>
        <v>80.018957345971558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2740</v>
      </c>
      <c r="O191" s="155">
        <f ca="1">IF(L191&gt;0,N191*100/L191,0)</f>
        <v>45.666666666666664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50150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8150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371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50150</v>
      </c>
      <c r="O238" s="155">
        <f ca="1">IF(L238&gt;0,N238*100/L238,0)</f>
        <v>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72">
        <v>8150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72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IFERROR(__xludf.DUMMYFUNCTION("IMPORTRANGE(""https://docs.google.com/spreadsheets/d/1MeEWN-I1oV_STSDYn1IFDPWt_1FKiwhDph83XaGc0o0/edit?usp=sharing"",""งบพรบ!DD63"")"),23900)</f>
        <v>23900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127600</v>
      </c>
      <c r="O298" s="155">
        <f t="shared" ref="O298:O306" ca="1" si="136">IF(L298&gt;0,N298*100/L298,0)</f>
        <v>61.702127659574465</v>
      </c>
      <c r="P298" s="155">
        <f t="shared" ref="P298:P306" ca="1" si="137">IF(M298&gt;0,N298*100/M298,0)</f>
        <v>82.696046662346077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127600</v>
      </c>
      <c r="O300" s="93">
        <f t="shared" ca="1" si="136"/>
        <v>61.702127659574465</v>
      </c>
      <c r="P300" s="93">
        <f t="shared" ca="1" si="137"/>
        <v>82.696046662346077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127600</v>
      </c>
      <c r="O301" s="497">
        <f t="shared" ca="1" si="136"/>
        <v>61.702127659574465</v>
      </c>
      <c r="P301" s="497">
        <f t="shared" ca="1" si="137"/>
        <v>82.696046662346077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IFERROR(__xludf.DUMMYFUNCTION("IMPORTRANGE(""https://docs.google.com/spreadsheets/d/1MeEWN-I1oV_STSDYn1IFDPWt_1FKiwhDph83XaGc0o0/edit?usp=sharing"",""งบพรบ!DX63"")"),154300)</f>
        <v>154300</v>
      </c>
      <c r="N303" s="93">
        <f ca="1">IFERROR(__xludf.DUMMYFUNCTION("IMPORTRANGE(""https://docs.google.com/spreadsheets/d/1MeEWN-I1oV_STSDYn1IFDPWt_1FKiwhDph83XaGc0o0/edit?usp=sharing"",""งบพรบ!DZ63"")"),127600)</f>
        <v>127600</v>
      </c>
      <c r="O303" s="93">
        <f t="shared" ca="1" si="136"/>
        <v>61.702127659574465</v>
      </c>
      <c r="P303" s="93">
        <f t="shared" ca="1" si="137"/>
        <v>82.696046662346077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913</v>
      </c>
      <c r="K327" s="445">
        <f ca="1">IF(I327&gt;0,J327*100/I327,0)</f>
        <v>91.3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92500</v>
      </c>
      <c r="O328" s="155">
        <f t="shared" ref="O328:O336" ca="1" si="150">IF(L328&gt;0,N328*100/L328,0)</f>
        <v>58.176100628930818</v>
      </c>
      <c r="P328" s="155">
        <f t="shared" ref="P328:P336" ca="1" si="151">IF(M328&gt;0,N328*100/M328,0)</f>
        <v>75.975359342915809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92500</v>
      </c>
      <c r="O330" s="93">
        <f t="shared" ca="1" si="150"/>
        <v>58.176100628930818</v>
      </c>
      <c r="P330" s="93">
        <f t="shared" ca="1" si="151"/>
        <v>75.975359342915809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92500</v>
      </c>
      <c r="O331" s="497">
        <f t="shared" ca="1" si="150"/>
        <v>58.176100628930818</v>
      </c>
      <c r="P331" s="497">
        <f t="shared" ca="1" si="151"/>
        <v>75.975359342915809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IFERROR(__xludf.DUMMYFUNCTION("IMPORTRANGE(""https://docs.google.com/spreadsheets/d/1MeEWN-I1oV_STSDYn1IFDPWt_1FKiwhDph83XaGc0o0/edit?usp=sharing"",""งบพรบ!ER63"")"),121750)</f>
        <v>121750</v>
      </c>
      <c r="N333" s="93">
        <f ca="1">IFERROR(__xludf.DUMMYFUNCTION("IMPORTRANGE(""https://docs.google.com/spreadsheets/d/1MeEWN-I1oV_STSDYn1IFDPWt_1FKiwhDph83XaGc0o0/edit?usp=sharing"",""งบพรบ!ET63"")"),92500)</f>
        <v>92500</v>
      </c>
      <c r="O333" s="93">
        <f t="shared" ca="1" si="150"/>
        <v>58.176100628930818</v>
      </c>
      <c r="P333" s="93">
        <f t="shared" ca="1" si="151"/>
        <v>75.975359342915809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IFERROR(__xludf.DUMMYFUNCTION("IMPORTRANGE(""https://docs.google.com/spreadsheets/d/1kVcqe37tkHyjCSG3S0O1AXqVkqjo8mSIZil3BcpIysc/edit?usp=sharing"",""ศูนย์!D63"")"),820)</f>
        <v>820</v>
      </c>
      <c r="K338" s="497">
        <f ca="1">IF(I338&gt;0,J338*100/I338,0)</f>
        <v>82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635510</v>
      </c>
      <c r="N345" s="155">
        <f t="shared" ca="1" si="155"/>
        <v>490556</v>
      </c>
      <c r="O345" s="155">
        <f t="shared" ref="O345:O353" ca="1" si="156">IF(L345&gt;0,N345*100/L345,0)</f>
        <v>63.326147292325565</v>
      </c>
      <c r="P345" s="155">
        <f t="shared" ref="P345:P353" ca="1" si="157">IF(M345&gt;0,N345*100/M345,0)</f>
        <v>77.190917530802039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635510</v>
      </c>
      <c r="N347" s="93">
        <f t="shared" ca="1" si="158"/>
        <v>490556</v>
      </c>
      <c r="O347" s="93">
        <f t="shared" ca="1" si="156"/>
        <v>63.326147292325565</v>
      </c>
      <c r="P347" s="93">
        <f t="shared" ca="1" si="157"/>
        <v>77.190917530802039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446110</v>
      </c>
      <c r="N348" s="497">
        <f t="shared" ca="1" si="159"/>
        <v>301156</v>
      </c>
      <c r="O348" s="497">
        <f t="shared" ca="1" si="156"/>
        <v>51.45766766339171</v>
      </c>
      <c r="P348" s="497">
        <f t="shared" ca="1" si="157"/>
        <v>67.507117078747399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IFERROR(__xludf.DUMMYFUNCTION("IMPORTRANGE(""https://docs.google.com/spreadsheets/d/1MeEWN-I1oV_STSDYn1IFDPWt_1FKiwhDph83XaGc0o0/edit?usp=sharing"",""งบพรบ!FB63"")"),446110)</f>
        <v>446110</v>
      </c>
      <c r="N350" s="93">
        <f ca="1">IFERROR(__xludf.DUMMYFUNCTION("IMPORTRANGE(""https://docs.google.com/spreadsheets/d/1MeEWN-I1oV_STSDYn1IFDPWt_1FKiwhDph83XaGc0o0/edit?usp=sharing"",""งบพรบ!FD63"")"),301156)</f>
        <v>301156</v>
      </c>
      <c r="O350" s="93">
        <f t="shared" ca="1" si="156"/>
        <v>51.45766766339171</v>
      </c>
      <c r="P350" s="93">
        <f t="shared" ca="1" si="157"/>
        <v>67.507117078747399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121</v>
      </c>
      <c r="K364" s="479">
        <f t="shared" ca="1" si="161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1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164"/>
        <v>164.0625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745683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65.958725088274775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31.914893617021278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31.914893617021278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31.914893617021278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</f>
        <v>9400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31.914893617021278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6280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6280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6280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</f>
        <v>6280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IFERROR(__xludf.DUMMYFUNCTION("IMPORTRANGE(""https://docs.google.com/spreadsheets/d/1XWAQStnk-4SwqDmLtmXYiTMKHgktTP8We1SCoS47DrQ/edit?usp=sharing"",""จัดที่ดิน!BD63"")"),3)</f>
        <v>3</v>
      </c>
      <c r="K700" s="497">
        <f t="shared" ca="1" si="290"/>
        <v>9.67741935483871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IFERROR(__xludf.DUMMYFUNCTION("IMPORTRANGE(""https://docs.google.com/spreadsheets/d/19vJNZY_5yjcGF2XGBMNZRCAIB0Kwfpjp8YEOfu-bneM/edit?usp=sharing"",""งานกองทุน!F63"")"),1753426.61)</f>
        <v>1753426.61</v>
      </c>
      <c r="K821" s="497">
        <f t="shared" ref="K821:K828" ca="1" si="335">IF(I821&gt;0,J821*100/I821,0)</f>
        <v>21.417442695477959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IFERROR(__xludf.DUMMYFUNCTION("IMPORTRANGE(""https://docs.google.com/spreadsheets/d/19vJNZY_5yjcGF2XGBMNZRCAIB0Kwfpjp8YEOfu-bneM/edit?usp=sharing"",""งานกองทุน!E63"")"),47)</f>
        <v>47</v>
      </c>
      <c r="K822" s="497">
        <f t="shared" ca="1" si="335"/>
        <v>25.683060109289617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IFERROR(__xludf.DUMMYFUNCTION("IMPORTRANGE(""https://docs.google.com/spreadsheets/d/19vJNZY_5yjcGF2XGBMNZRCAIB0Kwfpjp8YEOfu-bneM/edit?usp=sharing"",""งานกองทุน!K63"")"),578868.99)</f>
        <v>578868.99</v>
      </c>
      <c r="K823" s="497">
        <f t="shared" ca="1" si="335"/>
        <v>9.1669273154748332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IFERROR(__xludf.DUMMYFUNCTION("IMPORTRANGE(""https://docs.google.com/spreadsheets/d/19vJNZY_5yjcGF2XGBMNZRCAIB0Kwfpjp8YEOfu-bneM/edit?usp=sharing"",""งานกองทุน!J63"")"),99)</f>
        <v>99</v>
      </c>
      <c r="K824" s="497">
        <f t="shared" ca="1" si="335"/>
        <v>67.34693877551021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IFERROR(__xludf.DUMMYFUNCTION("IMPORTRANGE(""https://docs.google.com/spreadsheets/d/19vJNZY_5yjcGF2XGBMNZRCAIB0Kwfpjp8YEOfu-bneM/edit?usp=sharing"",""งานกองทุน!P63"")"),366088.54)</f>
        <v>366088.54</v>
      </c>
      <c r="K825" s="497">
        <f t="shared" ca="1" si="335"/>
        <v>52.771087769124037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IFERROR(__xludf.DUMMYFUNCTION("IMPORTRANGE(""https://docs.google.com/spreadsheets/d/19vJNZY_5yjcGF2XGBMNZRCAIB0Kwfpjp8YEOfu-bneM/edit?usp=sharing"",""งานกองทุน!O63"")"),422)</f>
        <v>422</v>
      </c>
      <c r="K826" s="497">
        <f t="shared" ca="1" si="335"/>
        <v>94.831460674157299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IFERROR(__xludf.DUMMYFUNCTION("IMPORTRANGE(""https://docs.google.com/spreadsheets/d/19vJNZY_5yjcGF2XGBMNZRCAIB0Kwfpjp8YEOfu-bneM/edit?usp=sharing"",""งานกองทุน!U63"")"),1420000)</f>
        <v>1420000</v>
      </c>
      <c r="K827" s="497">
        <f t="shared" ca="1" si="335"/>
        <v>28.514056224899598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IFERROR(__xludf.DUMMYFUNCTION("IMPORTRANGE(""https://docs.google.com/spreadsheets/d/19vJNZY_5yjcGF2XGBMNZRCAIB0Kwfpjp8YEOfu-bneM/edit?usp=sharing"",""งานกองทุน!T63"")"),29)</f>
        <v>29</v>
      </c>
      <c r="K828" s="502">
        <f t="shared" ca="1" si="335"/>
        <v>14.572864321608041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AD33A-9ED1-4DBB-B494-287529418D5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2800769</v>
      </c>
      <c r="N8" s="22">
        <f t="shared" ca="1" si="0"/>
        <v>2202864.12</v>
      </c>
      <c r="O8" s="22">
        <f t="shared" ref="O8:O16" ca="1" si="1">IF(L8&gt;0,N8*100/L8,0)</f>
        <v>66.259124952626166</v>
      </c>
      <c r="P8" s="22">
        <f t="shared" ref="P8:P16" ca="1" si="2">IF(M8&gt;0,N8*100/M8,0)</f>
        <v>78.652117329204941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2800769</v>
      </c>
      <c r="N10" s="30">
        <f t="shared" ca="1" si="3"/>
        <v>2202864.12</v>
      </c>
      <c r="O10" s="30">
        <f t="shared" ca="1" si="1"/>
        <v>66.259124952626166</v>
      </c>
      <c r="P10" s="30">
        <f t="shared" ca="1" si="2"/>
        <v>78.652117329204941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2724769</v>
      </c>
      <c r="N11" s="497">
        <f t="shared" ca="1" si="4"/>
        <v>2126864.12</v>
      </c>
      <c r="O11" s="497">
        <f t="shared" ca="1" si="1"/>
        <v>65.469772395663384</v>
      </c>
      <c r="P11" s="497">
        <f t="shared" ca="1" si="2"/>
        <v>78.056676364124812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2724769</v>
      </c>
      <c r="N13" s="93">
        <f t="shared" ca="1" si="5"/>
        <v>2126864.12</v>
      </c>
      <c r="O13" s="93">
        <f t="shared" ca="1" si="1"/>
        <v>65.469772395663384</v>
      </c>
      <c r="P13" s="93">
        <f t="shared" ca="1" si="2"/>
        <v>78.056676364124812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2313969</v>
      </c>
      <c r="N18" s="22">
        <f t="shared" ca="1" si="8"/>
        <v>1923638.29</v>
      </c>
      <c r="O18" s="22">
        <f t="shared" ref="O18:O26" ca="1" si="9">IF(L18&gt;0,N18*100/L18,0)</f>
        <v>67.785775348683146</v>
      </c>
      <c r="P18" s="22">
        <f t="shared" ref="P18:P26" ca="1" si="10">IF(M18&gt;0,N18*100/M18,0)</f>
        <v>83.131549731219394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2313969</v>
      </c>
      <c r="N20" s="30">
        <f t="shared" ca="1" si="11"/>
        <v>1923638.29</v>
      </c>
      <c r="O20" s="30">
        <f t="shared" ca="1" si="9"/>
        <v>67.785775348683146</v>
      </c>
      <c r="P20" s="30">
        <f t="shared" ca="1" si="10"/>
        <v>83.131549731219394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2237969</v>
      </c>
      <c r="N21" s="497">
        <f t="shared" ca="1" si="12"/>
        <v>1847638.29</v>
      </c>
      <c r="O21" s="497">
        <f t="shared" ca="1" si="9"/>
        <v>66.899301547530257</v>
      </c>
      <c r="P21" s="497">
        <f t="shared" ca="1" si="10"/>
        <v>82.558707917759364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2237969</v>
      </c>
      <c r="N23" s="93">
        <f t="shared" ca="1" si="13"/>
        <v>1847638.29</v>
      </c>
      <c r="O23" s="93">
        <f t="shared" ca="1" si="9"/>
        <v>66.899301547530257</v>
      </c>
      <c r="P23" s="93">
        <f t="shared" ca="1" si="10"/>
        <v>82.558707917759364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279225.83</v>
      </c>
      <c r="O28" s="22">
        <f t="shared" ref="O28:O37" ca="1" si="17">IF(L28&gt;0,N28*100/L28,0)</f>
        <v>57.359455628594908</v>
      </c>
      <c r="P28" s="22">
        <f t="shared" ref="P28:P37" ca="1" si="18">IF(M28&gt;0,N28*100/M28,0)</f>
        <v>57.359455628594908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279225.83</v>
      </c>
      <c r="O30" s="30">
        <f t="shared" ca="1" si="17"/>
        <v>57.359455628594908</v>
      </c>
      <c r="P30" s="30">
        <f t="shared" ca="1" si="18"/>
        <v>57.359455628594908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486800</v>
      </c>
      <c r="N31" s="497">
        <f t="shared" si="20"/>
        <v>279225.83</v>
      </c>
      <c r="O31" s="497">
        <f t="shared" ca="1" si="17"/>
        <v>57.359455628594908</v>
      </c>
      <c r="P31" s="497">
        <f t="shared" ca="1" si="18"/>
        <v>57.359455628594908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486800</v>
      </c>
      <c r="N33" s="93">
        <f t="shared" si="21"/>
        <v>279225.83</v>
      </c>
      <c r="O33" s="93">
        <f t="shared" ca="1" si="17"/>
        <v>57.359455628594908</v>
      </c>
      <c r="P33" s="93">
        <f t="shared" ca="1" si="18"/>
        <v>57.359455628594908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2313969</v>
      </c>
      <c r="N37" s="59">
        <f t="shared" ca="1" si="24"/>
        <v>1923638.29</v>
      </c>
      <c r="O37" s="59">
        <f t="shared" ca="1" si="17"/>
        <v>67.785775348683146</v>
      </c>
      <c r="P37" s="59">
        <f t="shared" ca="1" si="18"/>
        <v>83.131549731219394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322184</v>
      </c>
      <c r="N41" s="85">
        <f t="shared" ca="1" si="25"/>
        <v>307651.74</v>
      </c>
      <c r="O41" s="85">
        <f t="shared" ref="O41:O49" ca="1" si="26">IF(L41&gt;0,N41*100/L41,0)</f>
        <v>98.385590022385671</v>
      </c>
      <c r="P41" s="85">
        <f t="shared" ref="P41:P49" ca="1" si="27">IF(M41&gt;0,N41*100/M41,0)</f>
        <v>95.489453231693687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322184</v>
      </c>
      <c r="N43" s="92">
        <f t="shared" ca="1" si="28"/>
        <v>307651.74</v>
      </c>
      <c r="O43" s="92">
        <f t="shared" ca="1" si="26"/>
        <v>98.385590022385671</v>
      </c>
      <c r="P43" s="92">
        <f t="shared" ca="1" si="27"/>
        <v>95.489453231693687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322184</v>
      </c>
      <c r="N44" s="497">
        <f t="shared" ca="1" si="29"/>
        <v>307651.74</v>
      </c>
      <c r="O44" s="497">
        <f t="shared" ca="1" si="26"/>
        <v>98.385590022385671</v>
      </c>
      <c r="P44" s="497">
        <f t="shared" ca="1" si="27"/>
        <v>95.489453231693687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IFERROR(__xludf.DUMMYFUNCTION("IMPORTRANGE(""https://docs.google.com/spreadsheets/d/1MeEWN-I1oV_STSDYn1IFDPWt_1FKiwhDph83XaGc0o0/edit?usp=sharing"",""งบพรบ!R64"")"),322184)</f>
        <v>322184</v>
      </c>
      <c r="N46" s="93">
        <f ca="1">IFERROR(__xludf.DUMMYFUNCTION("IMPORTRANGE(""https://docs.google.com/spreadsheets/d/1MeEWN-I1oV_STSDYn1IFDPWt_1FKiwhDph83XaGc0o0/edit?usp=sharing"",""งบพรบ!T64"")"),307651.74)</f>
        <v>307651.74</v>
      </c>
      <c r="O46" s="93">
        <f t="shared" ca="1" si="26"/>
        <v>98.385590022385671</v>
      </c>
      <c r="P46" s="93">
        <f t="shared" ca="1" si="27"/>
        <v>95.489453231693687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272475</v>
      </c>
      <c r="N53" s="116">
        <f t="shared" ca="1" si="31"/>
        <v>233251.43</v>
      </c>
      <c r="O53" s="116">
        <f t="shared" ref="O53:O61" ca="1" si="32">IF(L53&gt;0,N53*100/L53,0)</f>
        <v>65.354841692350803</v>
      </c>
      <c r="P53" s="116">
        <f t="shared" ref="P53:P61" ca="1" si="33">IF(M53&gt;0,N53*100/M53,0)</f>
        <v>85.604708688870545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272475</v>
      </c>
      <c r="N55" s="123">
        <f t="shared" ca="1" si="34"/>
        <v>233251.43</v>
      </c>
      <c r="O55" s="123">
        <f t="shared" ca="1" si="32"/>
        <v>65.354841692350803</v>
      </c>
      <c r="P55" s="123">
        <f t="shared" ca="1" si="33"/>
        <v>85.604708688870545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272475</v>
      </c>
      <c r="N56" s="497">
        <f t="shared" ca="1" si="35"/>
        <v>233251.43</v>
      </c>
      <c r="O56" s="497">
        <f t="shared" ca="1" si="32"/>
        <v>65.354841692350803</v>
      </c>
      <c r="P56" s="497">
        <f t="shared" ca="1" si="33"/>
        <v>85.604708688870545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IFERROR(__xludf.DUMMYFUNCTION("IMPORTRANGE(""https://docs.google.com/spreadsheets/d/1MeEWN-I1oV_STSDYn1IFDPWt_1FKiwhDph83XaGc0o0/edit?usp=sharing"",""งบพรบ!AB64"")"),272475)</f>
        <v>272475</v>
      </c>
      <c r="N58" s="93">
        <f ca="1">IFERROR(__xludf.DUMMYFUNCTION("IMPORTRANGE(""https://docs.google.com/spreadsheets/d/1MeEWN-I1oV_STSDYn1IFDPWt_1FKiwhDph83XaGc0o0/edit?usp=sharing"",""งบพรบ!AD64"")"),233251.43)</f>
        <v>233251.43</v>
      </c>
      <c r="O58" s="93">
        <f t="shared" ca="1" si="32"/>
        <v>65.354841692350803</v>
      </c>
      <c r="P58" s="93">
        <f t="shared" ca="1" si="33"/>
        <v>85.604708688870545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469950</v>
      </c>
      <c r="N66" s="155">
        <f t="shared" ca="1" si="39"/>
        <v>386235</v>
      </c>
      <c r="O66" s="155">
        <f t="shared" ref="O66:O74" ca="1" si="40">IF(L66&gt;0,N66*100/L66,0)</f>
        <v>63.33797966546409</v>
      </c>
      <c r="P66" s="155">
        <f t="shared" ref="P66:P74" ca="1" si="41">IF(M66&gt;0,N66*100/M66,0)</f>
        <v>82.186402808809447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469950</v>
      </c>
      <c r="N68" s="93">
        <f t="shared" ca="1" si="42"/>
        <v>386235</v>
      </c>
      <c r="O68" s="93">
        <f t="shared" ca="1" si="40"/>
        <v>63.33797966546409</v>
      </c>
      <c r="P68" s="93">
        <f t="shared" ca="1" si="41"/>
        <v>82.186402808809447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469950</v>
      </c>
      <c r="N69" s="497">
        <f t="shared" ca="1" si="43"/>
        <v>386235</v>
      </c>
      <c r="O69" s="497">
        <f t="shared" ca="1" si="40"/>
        <v>63.33797966546409</v>
      </c>
      <c r="P69" s="497">
        <f t="shared" ca="1" si="41"/>
        <v>82.186402808809447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IFERROR(__xludf.DUMMYFUNCTION("IMPORTRANGE(""https://docs.google.com/spreadsheets/d/1MeEWN-I1oV_STSDYn1IFDPWt_1FKiwhDph83XaGc0o0/edit?usp=sharing"",""งบพรบ!AL64"")"),469950)</f>
        <v>469950</v>
      </c>
      <c r="N71" s="93">
        <f ca="1">IFERROR(__xludf.DUMMYFUNCTION("IMPORTRANGE(""https://docs.google.com/spreadsheets/d/1MeEWN-I1oV_STSDYn1IFDPWt_1FKiwhDph83XaGc0o0/edit?usp=sharing"",""งบพรบ!AN64"")"),386235)</f>
        <v>386235</v>
      </c>
      <c r="O71" s="93">
        <f t="shared" ca="1" si="40"/>
        <v>63.33797966546409</v>
      </c>
      <c r="P71" s="93">
        <f t="shared" ca="1" si="41"/>
        <v>82.186402808809447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IFERROR(__xludf.DUMMYFUNCTION("IMPORTRANGE(""https://docs.google.com/spreadsheets/d/1MeEWN-I1oV_STSDYn1IFDPWt_1FKiwhDph83XaGc0o0/edit?usp=sharing"",""งบพรบ!AV64"")"),29350)</f>
        <v>29350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418550</v>
      </c>
      <c r="N181" s="155">
        <f t="shared" ca="1" si="92"/>
        <v>390875.79</v>
      </c>
      <c r="O181" s="155">
        <f t="shared" ref="O181:O189" ca="1" si="93">IF(L181&gt;0,N181*100/L181,0)</f>
        <v>74.064574135480811</v>
      </c>
      <c r="P181" s="155">
        <f t="shared" ref="P181:P189" ca="1" si="94">IF(M181&gt;0,N181*100/M181,0)</f>
        <v>93.388075498745664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418550</v>
      </c>
      <c r="N183" s="93">
        <f t="shared" ca="1" si="95"/>
        <v>390875.79</v>
      </c>
      <c r="O183" s="93">
        <f t="shared" ca="1" si="93"/>
        <v>74.064574135480811</v>
      </c>
      <c r="P183" s="93">
        <f t="shared" ca="1" si="94"/>
        <v>93.388075498745664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418550</v>
      </c>
      <c r="N184" s="497">
        <f t="shared" ca="1" si="96"/>
        <v>390875.79</v>
      </c>
      <c r="O184" s="497">
        <f t="shared" ca="1" si="93"/>
        <v>74.064574135480811</v>
      </c>
      <c r="P184" s="497">
        <f t="shared" ca="1" si="94"/>
        <v>93.388075498745664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IFERROR(__xludf.DUMMYFUNCTION("IMPORTRANGE(""https://docs.google.com/spreadsheets/d/1MeEWN-I1oV_STSDYn1IFDPWt_1FKiwhDph83XaGc0o0/edit?usp=sharing"",""งบพรบ!CT64"")"),418550)</f>
        <v>418550</v>
      </c>
      <c r="N186" s="93">
        <f ca="1">IFERROR(__xludf.DUMMYFUNCTION("IMPORTRANGE(""https://docs.google.com/spreadsheets/d/1MeEWN-I1oV_STSDYn1IFDPWt_1FKiwhDph83XaGc0o0/edit?usp=sharing"",""งบพรบ!CV64"")"),390875.79)</f>
        <v>390875.79</v>
      </c>
      <c r="O186" s="93">
        <f t="shared" ca="1" si="93"/>
        <v>74.064574135480811</v>
      </c>
      <c r="P186" s="93">
        <f t="shared" ca="1" si="94"/>
        <v>93.388075498745664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161239.39000000001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96489.39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161239.39000000001</v>
      </c>
      <c r="O238" s="155">
        <f ca="1">IF(L238&gt;0,N238*100/L238,0)</f>
        <v>70.796658616904509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72">
        <v>96489.39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72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72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23800</v>
      </c>
      <c r="O261" s="155">
        <f t="shared" ref="O261:O269" ca="1" si="116">IF(L261&gt;0,N261*100/L261,0)</f>
        <v>88.475836431226767</v>
      </c>
      <c r="P261" s="155">
        <f t="shared" ref="P261:P269" ca="1" si="117">IF(M261&gt;0,N261*100/M261,0)</f>
        <v>99.581589958159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23800</v>
      </c>
      <c r="O263" s="93">
        <f t="shared" ca="1" si="116"/>
        <v>88.475836431226767</v>
      </c>
      <c r="P263" s="93">
        <f t="shared" ca="1" si="117"/>
        <v>99.581589958159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23800</v>
      </c>
      <c r="O264" s="497">
        <f t="shared" ca="1" si="116"/>
        <v>88.475836431226767</v>
      </c>
      <c r="P264" s="497">
        <f t="shared" ca="1" si="117"/>
        <v>99.581589958159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IFERROR(__xludf.DUMMYFUNCTION("IMPORTRANGE(""https://docs.google.com/spreadsheets/d/1MeEWN-I1oV_STSDYn1IFDPWt_1FKiwhDph83XaGc0o0/edit?usp=sharing"",""งบพรบ!DD64"")"),23900)</f>
        <v>23900</v>
      </c>
      <c r="N266" s="93">
        <f ca="1">IFERROR(__xludf.DUMMYFUNCTION("IMPORTRANGE(""https://docs.google.com/spreadsheets/d/1MeEWN-I1oV_STSDYn1IFDPWt_1FKiwhDph83XaGc0o0/edit?usp=sharing"",""งบพรบ!DF64"")"),23800)</f>
        <v>23800</v>
      </c>
      <c r="O266" s="93">
        <f t="shared" ca="1" si="116"/>
        <v>88.475836431226767</v>
      </c>
      <c r="P266" s="93">
        <f t="shared" ca="1" si="117"/>
        <v>99.581589958159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63800</v>
      </c>
      <c r="N298" s="155">
        <f t="shared" ca="1" si="134"/>
        <v>45985.4</v>
      </c>
      <c r="O298" s="155">
        <f t="shared" ref="O298:O306" ca="1" si="135">IF(L298&gt;0,N298*100/L298,0)</f>
        <v>72.077429467084642</v>
      </c>
      <c r="P298" s="155">
        <f t="shared" ref="P298:P306" ca="1" si="136">IF(M298&gt;0,N298*100/M298,0)</f>
        <v>72.077429467084642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63800</v>
      </c>
      <c r="N300" s="93">
        <f t="shared" ca="1" si="137"/>
        <v>45985.4</v>
      </c>
      <c r="O300" s="93">
        <f t="shared" ca="1" si="135"/>
        <v>72.077429467084642</v>
      </c>
      <c r="P300" s="93">
        <f t="shared" ca="1" si="136"/>
        <v>72.077429467084642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63800</v>
      </c>
      <c r="N301" s="497">
        <f t="shared" ca="1" si="138"/>
        <v>45985.4</v>
      </c>
      <c r="O301" s="497">
        <f t="shared" ca="1" si="135"/>
        <v>72.077429467084642</v>
      </c>
      <c r="P301" s="497">
        <f t="shared" ca="1" si="136"/>
        <v>72.077429467084642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IFERROR(__xludf.DUMMYFUNCTION("IMPORTRANGE(""https://docs.google.com/spreadsheets/d/1MeEWN-I1oV_STSDYn1IFDPWt_1FKiwhDph83XaGc0o0/edit?usp=sharing"",""งบพรบ!DZ64"")"),45985.4)</f>
        <v>45985.4</v>
      </c>
      <c r="O303" s="93">
        <f t="shared" ca="1" si="135"/>
        <v>72.077429467084642</v>
      </c>
      <c r="P303" s="93">
        <f t="shared" ca="1" si="136"/>
        <v>72.077429467084642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1241</v>
      </c>
      <c r="K327" s="445">
        <f ca="1">IF(I327&gt;0,J327*100/I327,0)</f>
        <v>155.125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443950</v>
      </c>
      <c r="N328" s="155">
        <f t="shared" ca="1" si="148"/>
        <v>270372.32</v>
      </c>
      <c r="O328" s="155">
        <f t="shared" ref="O328:O336" ca="1" si="149">IF(L328&gt;0,N328*100/L328,0)</f>
        <v>45.934814814814814</v>
      </c>
      <c r="P328" s="155">
        <f t="shared" ref="P328:P336" ca="1" si="150">IF(M328&gt;0,N328*100/M328,0)</f>
        <v>60.901524946502981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443950</v>
      </c>
      <c r="N330" s="93">
        <f t="shared" ca="1" si="151"/>
        <v>270372.32</v>
      </c>
      <c r="O330" s="93">
        <f t="shared" ca="1" si="149"/>
        <v>45.934814814814814</v>
      </c>
      <c r="P330" s="93">
        <f t="shared" ca="1" si="150"/>
        <v>60.901524946502981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443950</v>
      </c>
      <c r="N331" s="497">
        <f t="shared" ca="1" si="152"/>
        <v>270372.32</v>
      </c>
      <c r="O331" s="497">
        <f t="shared" ca="1" si="149"/>
        <v>45.934814814814814</v>
      </c>
      <c r="P331" s="497">
        <f t="shared" ca="1" si="150"/>
        <v>60.901524946502981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IFERROR(__xludf.DUMMYFUNCTION("IMPORTRANGE(""https://docs.google.com/spreadsheets/d/1MeEWN-I1oV_STSDYn1IFDPWt_1FKiwhDph83XaGc0o0/edit?usp=sharing"",""งบพรบ!ER64"")"),443950)</f>
        <v>443950</v>
      </c>
      <c r="N333" s="93">
        <f ca="1">IFERROR(__xludf.DUMMYFUNCTION("IMPORTRANGE(""https://docs.google.com/spreadsheets/d/1MeEWN-I1oV_STSDYn1IFDPWt_1FKiwhDph83XaGc0o0/edit?usp=sharing"",""งบพรบ!ET64"")"),270372.32)</f>
        <v>270372.32</v>
      </c>
      <c r="O333" s="93">
        <f t="shared" ca="1" si="149"/>
        <v>45.934814814814814</v>
      </c>
      <c r="P333" s="93">
        <f t="shared" ca="1" si="150"/>
        <v>60.901524946502981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IFERROR(__xludf.DUMMYFUNCTION("IMPORTRANGE(""https://docs.google.com/spreadsheets/d/1kVcqe37tkHyjCSG3S0O1AXqVkqjo8mSIZil3BcpIysc/edit?usp=sharing"",""ศูนย์!D64"")"),660)</f>
        <v>660</v>
      </c>
      <c r="K338" s="497">
        <f ca="1">IF(I338&gt;0,J338*100/I338,0)</f>
        <v>82.5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231840</v>
      </c>
      <c r="N345" s="155">
        <f t="shared" ca="1" si="154"/>
        <v>199746.61</v>
      </c>
      <c r="O345" s="155">
        <f t="shared" ref="O345:O353" ca="1" si="155">IF(L345&gt;0,N345*100/L345,0)</f>
        <v>68.380613467529358</v>
      </c>
      <c r="P345" s="155">
        <f t="shared" ref="P345:P353" ca="1" si="156">IF(M345&gt;0,N345*100/M345,0)</f>
        <v>86.157095410628017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231840</v>
      </c>
      <c r="N347" s="93">
        <f t="shared" ca="1" si="157"/>
        <v>199746.61</v>
      </c>
      <c r="O347" s="93">
        <f t="shared" ca="1" si="155"/>
        <v>68.380613467529358</v>
      </c>
      <c r="P347" s="93">
        <f t="shared" ca="1" si="156"/>
        <v>86.157095410628017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155840</v>
      </c>
      <c r="N348" s="497">
        <f t="shared" ca="1" si="158"/>
        <v>123746.61</v>
      </c>
      <c r="O348" s="497">
        <f t="shared" ca="1" si="155"/>
        <v>57.260936560085142</v>
      </c>
      <c r="P348" s="497">
        <f t="shared" ca="1" si="156"/>
        <v>79.406192248459959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IFERROR(__xludf.DUMMYFUNCTION("IMPORTRANGE(""https://docs.google.com/spreadsheets/d/1MeEWN-I1oV_STSDYn1IFDPWt_1FKiwhDph83XaGc0o0/edit?usp=sharing"",""งบพรบ!FB64"")"),155840)</f>
        <v>155840</v>
      </c>
      <c r="N350" s="93">
        <f ca="1">IFERROR(__xludf.DUMMYFUNCTION("IMPORTRANGE(""https://docs.google.com/spreadsheets/d/1MeEWN-I1oV_STSDYn1IFDPWt_1FKiwhDph83XaGc0o0/edit?usp=sharing"",""งบพรบ!FD64"")"),123746.61)</f>
        <v>123746.61</v>
      </c>
      <c r="O350" s="93">
        <f t="shared" ca="1" si="155"/>
        <v>57.260936560085142</v>
      </c>
      <c r="P350" s="93">
        <f t="shared" ca="1" si="156"/>
        <v>79.406192248459959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486800</v>
      </c>
      <c r="N414" s="549">
        <f t="shared" si="180"/>
        <v>279225.83</v>
      </c>
      <c r="O414" s="549">
        <f ca="1">IF(L414&gt;0,N414*100/L414,0)</f>
        <v>57.359455628594908</v>
      </c>
      <c r="P414" s="549">
        <f ca="1">IF(M414&gt;0,N414*100/M414,0)</f>
        <v>57.359455628594908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205300</v>
      </c>
      <c r="N419" s="155">
        <f t="shared" si="183"/>
        <v>197231.4</v>
      </c>
      <c r="O419" s="155">
        <f t="shared" ref="O419:O424" ca="1" si="184">IF(L419&gt;0,N419*100/L419,0)</f>
        <v>96.069849001461279</v>
      </c>
      <c r="P419" s="155">
        <f t="shared" ref="P419:P424" ca="1" si="185">IF(M419&gt;0,N419*100/M419,0)</f>
        <v>96.069849001461279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205300</v>
      </c>
      <c r="N421" s="93">
        <f t="shared" si="186"/>
        <v>197231.4</v>
      </c>
      <c r="O421" s="93">
        <f t="shared" ca="1" si="184"/>
        <v>96.069849001461279</v>
      </c>
      <c r="P421" s="93">
        <f t="shared" ca="1" si="185"/>
        <v>96.069849001461279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205300</v>
      </c>
      <c r="N422" s="497">
        <f t="shared" si="187"/>
        <v>197231.4</v>
      </c>
      <c r="O422" s="497">
        <f t="shared" ca="1" si="184"/>
        <v>96.069849001461279</v>
      </c>
      <c r="P422" s="497">
        <f t="shared" ca="1" si="185"/>
        <v>96.069849001461279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</f>
        <v>205300</v>
      </c>
      <c r="N424" s="93">
        <f>N425+N426+N427+N428</f>
        <v>197231.4</v>
      </c>
      <c r="O424" s="93">
        <f t="shared" ca="1" si="184"/>
        <v>96.069849001461279</v>
      </c>
      <c r="P424" s="93">
        <f t="shared" ca="1" si="185"/>
        <v>96.069849001461279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179951.4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17280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79421.23000000001</v>
      </c>
      <c r="O544" s="155">
        <f t="shared" ref="O544:O549" ca="1" si="236">IF(L544&gt;0,N544*100/L544,0)</f>
        <v>36.232312956204382</v>
      </c>
      <c r="P544" s="155">
        <f t="shared" ref="P544:P549" ca="1" si="237">IF(M544&gt;0,N544*100/M544,0)</f>
        <v>36.232312956204382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79421.23000000001</v>
      </c>
      <c r="O546" s="93">
        <f t="shared" ca="1" si="236"/>
        <v>36.232312956204382</v>
      </c>
      <c r="P546" s="93">
        <f t="shared" ca="1" si="237"/>
        <v>36.232312956204382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79421.23000000001</v>
      </c>
      <c r="O547" s="497">
        <f t="shared" ca="1" si="236"/>
        <v>36.232312956204382</v>
      </c>
      <c r="P547" s="497">
        <f t="shared" ca="1" si="237"/>
        <v>36.232312956204382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79421.23000000001</v>
      </c>
      <c r="O549" s="93">
        <f t="shared" ca="1" si="236"/>
        <v>36.232312956204382</v>
      </c>
      <c r="P549" s="93">
        <f t="shared" ca="1" si="237"/>
        <v>36.232312956204382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48533.33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30887.9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20700</v>
      </c>
      <c r="N655" s="195">
        <f t="shared" si="272"/>
        <v>2573.1999999999998</v>
      </c>
      <c r="O655" s="195">
        <f t="shared" ref="O655:O660" ca="1" si="273">IF(L655&gt;0,N655*100/L655,0)</f>
        <v>12.430917874396133</v>
      </c>
      <c r="P655" s="195">
        <f t="shared" ref="P655:P660" ca="1" si="274">IF(M655&gt;0,N655*100/M655,0)</f>
        <v>12.430917874396133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20700</v>
      </c>
      <c r="N657" s="93">
        <f t="shared" si="275"/>
        <v>2573.1999999999998</v>
      </c>
      <c r="O657" s="93">
        <f t="shared" ca="1" si="273"/>
        <v>12.430917874396133</v>
      </c>
      <c r="P657" s="93">
        <f t="shared" ca="1" si="274"/>
        <v>12.430917874396133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20700</v>
      </c>
      <c r="N658" s="497">
        <f t="shared" si="276"/>
        <v>2573.1999999999998</v>
      </c>
      <c r="O658" s="497">
        <f t="shared" ca="1" si="273"/>
        <v>12.430917874396133</v>
      </c>
      <c r="P658" s="497">
        <f t="shared" ca="1" si="274"/>
        <v>12.430917874396133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</f>
        <v>20700</v>
      </c>
      <c r="N660" s="93">
        <f>N661+N662+N663+N664</f>
        <v>2573.1999999999998</v>
      </c>
      <c r="O660" s="93">
        <f t="shared" ca="1" si="273"/>
        <v>12.430917874396133</v>
      </c>
      <c r="P660" s="93">
        <f t="shared" ca="1" si="274"/>
        <v>12.430917874396133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2573.1999999999998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224</v>
      </c>
      <c r="K672" s="497">
        <f t="shared" ref="K672:K675" ca="1" si="280">IF(I$669&gt;0,J672*100/I$669,0)</f>
        <v>121.08108108108108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224</v>
      </c>
      <c r="K673" s="497">
        <f t="shared" ca="1" si="280"/>
        <v>121.08108108108108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9</v>
      </c>
      <c r="K721" s="195">
        <f t="shared" ca="1" si="290"/>
        <v>25.714285714285715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68.56</v>
      </c>
      <c r="K722" s="195">
        <f t="shared" ca="1" si="290"/>
        <v>17.761658031088082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IFERROR(__xludf.DUMMYFUNCTION("IMPORTRANGE(""https://docs.google.com/spreadsheets/d/1XWAQStnk-4SwqDmLtmXYiTMKHgktTP8We1SCoS47DrQ/edit?usp=sharing"",""จัดที่ดิน!BM64"")"),9)</f>
        <v>9</v>
      </c>
      <c r="K723" s="497">
        <f t="shared" ca="1" si="290"/>
        <v>25.714285714285715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IFERROR(__xludf.DUMMYFUNCTION("IMPORTRANGE(""https://docs.google.com/spreadsheets/d/1XWAQStnk-4SwqDmLtmXYiTMKHgktTP8We1SCoS47DrQ/edit?usp=sharing"",""จัดที่ดิน!BO64"")"),68.56)</f>
        <v>68.56</v>
      </c>
      <c r="K725" s="497">
        <f t="shared" ref="K725:K726" ca="1" si="291">IF(I725&gt;0,J725*100/I725,0)</f>
        <v>17.761658031088082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4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3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51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9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93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IFERROR(__xludf.DUMMYFUNCTION("IMPORTRANGE(""https://docs.google.com/spreadsheets/d/19vJNZY_5yjcGF2XGBMNZRCAIB0Kwfpjp8YEOfu-bneM/edit?usp=sharing"",""งานกองทุน!F64"")"),474268.47)</f>
        <v>474268.47</v>
      </c>
      <c r="K821" s="497">
        <f t="shared" ref="K821:K828" ca="1" si="334">IF(I821&gt;0,J821*100/I821,0)</f>
        <v>23.03011760757159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IFERROR(__xludf.DUMMYFUNCTION("IMPORTRANGE(""https://docs.google.com/spreadsheets/d/19vJNZY_5yjcGF2XGBMNZRCAIB0Kwfpjp8YEOfu-bneM/edit?usp=sharing"",""งานกองทุน!E64"")"),27)</f>
        <v>27</v>
      </c>
      <c r="K822" s="497">
        <f t="shared" ca="1" si="334"/>
        <v>24.545454545454547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IFERROR(__xludf.DUMMYFUNCTION("IMPORTRANGE(""https://docs.google.com/spreadsheets/d/19vJNZY_5yjcGF2XGBMNZRCAIB0Kwfpjp8YEOfu-bneM/edit?usp=sharing"",""งานกองทุน!K64"")"),1312065.4)</f>
        <v>1312065.3999999999</v>
      </c>
      <c r="K823" s="497">
        <f t="shared" ca="1" si="334"/>
        <v>21.595796660131271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IFERROR(__xludf.DUMMYFUNCTION("IMPORTRANGE(""https://docs.google.com/spreadsheets/d/19vJNZY_5yjcGF2XGBMNZRCAIB0Kwfpjp8YEOfu-bneM/edit?usp=sharing"",""งานกองทุน!J64"")"),82)</f>
        <v>82</v>
      </c>
      <c r="K824" s="497">
        <f t="shared" ca="1" si="334"/>
        <v>40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IFERROR(__xludf.DUMMYFUNCTION("IMPORTRANGE(""https://docs.google.com/spreadsheets/d/19vJNZY_5yjcGF2XGBMNZRCAIB0Kwfpjp8YEOfu-bneM/edit?usp=sharing"",""งานกองทุน!P64"")"),520341.65)</f>
        <v>520341.65</v>
      </c>
      <c r="K825" s="497">
        <f t="shared" ca="1" si="334"/>
        <v>35.949890099418951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IFERROR(__xludf.DUMMYFUNCTION("IMPORTRANGE(""https://docs.google.com/spreadsheets/d/19vJNZY_5yjcGF2XGBMNZRCAIB0Kwfpjp8YEOfu-bneM/edit?usp=sharing"",""งานกองทุน!O64"")"),1216)</f>
        <v>1216</v>
      </c>
      <c r="K826" s="497">
        <f t="shared" ca="1" si="334"/>
        <v>83.919944789510012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IFERROR(__xludf.DUMMYFUNCTION("IMPORTRANGE(""https://docs.google.com/spreadsheets/d/19vJNZY_5yjcGF2XGBMNZRCAIB0Kwfpjp8YEOfu-bneM/edit?usp=sharing"",""งานกองทุน!U64"")"),2460000)</f>
        <v>2460000</v>
      </c>
      <c r="K827" s="497">
        <f t="shared" ca="1" si="334"/>
        <v>30.073349633251834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IFERROR(__xludf.DUMMYFUNCTION("IMPORTRANGE(""https://docs.google.com/spreadsheets/d/19vJNZY_5yjcGF2XGBMNZRCAIB0Kwfpjp8YEOfu-bneM/edit?usp=sharing"",""งานกองทุน!T64"")"),53)</f>
        <v>53</v>
      </c>
      <c r="K828" s="502">
        <f t="shared" ca="1" si="334"/>
        <v>16.207951070336392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020B5-B098-47E0-A63A-6240DF61C81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6.8554687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2357296.2800000003</v>
      </c>
      <c r="N8" s="22">
        <f t="shared" ca="1" si="0"/>
        <v>1813057.6600000001</v>
      </c>
      <c r="O8" s="22">
        <f t="shared" ref="O8:O16" ca="1" si="1">IF(L8&gt;0,N8*100/L8,0)</f>
        <v>67.281782209154713</v>
      </c>
      <c r="P8" s="22">
        <f t="shared" ref="P8:P16" ca="1" si="2">IF(M8&gt;0,N8*100/M8,0)</f>
        <v>76.91259157291843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2357296.2800000003</v>
      </c>
      <c r="N10" s="30">
        <f t="shared" ca="1" si="3"/>
        <v>1813057.6600000001</v>
      </c>
      <c r="O10" s="30">
        <f t="shared" ca="1" si="1"/>
        <v>67.281782209154713</v>
      </c>
      <c r="P10" s="30">
        <f t="shared" ca="1" si="2"/>
        <v>76.91259157291843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2283396.2800000003</v>
      </c>
      <c r="N11" s="497">
        <f t="shared" ca="1" si="4"/>
        <v>1739157.6600000001</v>
      </c>
      <c r="O11" s="497">
        <f t="shared" ca="1" si="1"/>
        <v>66.359218459239713</v>
      </c>
      <c r="P11" s="497">
        <f t="shared" ca="1" si="2"/>
        <v>76.16538904057424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2283396.2800000003</v>
      </c>
      <c r="N13" s="93">
        <f t="shared" ca="1" si="5"/>
        <v>1739157.6600000001</v>
      </c>
      <c r="O13" s="93">
        <f t="shared" ca="1" si="1"/>
        <v>66.359218459239713</v>
      </c>
      <c r="P13" s="93">
        <f t="shared" ca="1" si="2"/>
        <v>76.16538904057424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1858383.28</v>
      </c>
      <c r="N18" s="22">
        <f t="shared" ca="1" si="8"/>
        <v>1589189.6600000001</v>
      </c>
      <c r="O18" s="22">
        <f t="shared" ref="O18:O26" ca="1" si="9">IF(L18&gt;0,N18*100/L18,0)</f>
        <v>72.373732700005917</v>
      </c>
      <c r="P18" s="22">
        <f t="shared" ref="P18:P26" ca="1" si="10">IF(M18&gt;0,N18*100/M18,0)</f>
        <v>85.514633988743157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1858383.28</v>
      </c>
      <c r="N20" s="30">
        <f t="shared" ca="1" si="11"/>
        <v>1589189.6600000001</v>
      </c>
      <c r="O20" s="30">
        <f t="shared" ca="1" si="9"/>
        <v>72.373732700005917</v>
      </c>
      <c r="P20" s="30">
        <f t="shared" ca="1" si="10"/>
        <v>85.514633988743157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1784483.28</v>
      </c>
      <c r="N21" s="497">
        <f t="shared" ca="1" si="12"/>
        <v>1515289.6600000001</v>
      </c>
      <c r="O21" s="497">
        <f t="shared" ca="1" si="9"/>
        <v>71.411589558463831</v>
      </c>
      <c r="P21" s="497">
        <f t="shared" ca="1" si="10"/>
        <v>84.914758069349915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1784483.28</v>
      </c>
      <c r="N23" s="93">
        <f t="shared" ca="1" si="13"/>
        <v>1515289.6600000001</v>
      </c>
      <c r="O23" s="93">
        <f t="shared" ca="1" si="9"/>
        <v>71.411589558463831</v>
      </c>
      <c r="P23" s="93">
        <f t="shared" ca="1" si="10"/>
        <v>84.914758069349915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223868</v>
      </c>
      <c r="O28" s="22">
        <f t="shared" ref="O28:O37" ca="1" si="17">IF(L28&gt;0,N28*100/L28,0)</f>
        <v>44.871149879838768</v>
      </c>
      <c r="P28" s="22">
        <f t="shared" ref="P28:P37" ca="1" si="18">IF(M28&gt;0,N28*100/M28,0)</f>
        <v>44.871149879838768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223868</v>
      </c>
      <c r="O30" s="30">
        <f t="shared" ca="1" si="17"/>
        <v>44.871149879838768</v>
      </c>
      <c r="P30" s="30">
        <f t="shared" ca="1" si="18"/>
        <v>44.871149879838768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498913</v>
      </c>
      <c r="N31" s="497">
        <f t="shared" si="20"/>
        <v>223868</v>
      </c>
      <c r="O31" s="497">
        <f t="shared" ca="1" si="17"/>
        <v>44.871149879838768</v>
      </c>
      <c r="P31" s="497">
        <f t="shared" ca="1" si="18"/>
        <v>44.871149879838768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498913</v>
      </c>
      <c r="N33" s="93">
        <f t="shared" si="21"/>
        <v>223868</v>
      </c>
      <c r="O33" s="93">
        <f t="shared" ca="1" si="17"/>
        <v>44.871149879838768</v>
      </c>
      <c r="P33" s="93">
        <f t="shared" ca="1" si="18"/>
        <v>44.871149879838768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1858383.28</v>
      </c>
      <c r="N37" s="59">
        <f t="shared" ca="1" si="24"/>
        <v>1589189.6600000001</v>
      </c>
      <c r="O37" s="59">
        <f t="shared" ca="1" si="17"/>
        <v>72.373732700005917</v>
      </c>
      <c r="P37" s="59">
        <f t="shared" ca="1" si="18"/>
        <v>85.514633988743157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365113.28</v>
      </c>
      <c r="N41" s="85">
        <f t="shared" ca="1" si="25"/>
        <v>228280</v>
      </c>
      <c r="O41" s="85">
        <f t="shared" ref="O41:O49" ca="1" si="26">IF(L41&gt;0,N41*100/L41,0)</f>
        <v>64.286116586876929</v>
      </c>
      <c r="P41" s="85">
        <f t="shared" ref="P41:P49" ca="1" si="27">IF(M41&gt;0,N41*100/M41,0)</f>
        <v>62.523061335922918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365113.28</v>
      </c>
      <c r="N43" s="92">
        <f t="shared" ca="1" si="28"/>
        <v>228280</v>
      </c>
      <c r="O43" s="92">
        <f t="shared" ca="1" si="26"/>
        <v>64.286116586876929</v>
      </c>
      <c r="P43" s="92">
        <f t="shared" ca="1" si="27"/>
        <v>62.523061335922918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365113.28</v>
      </c>
      <c r="N44" s="497">
        <f t="shared" ca="1" si="29"/>
        <v>228280</v>
      </c>
      <c r="O44" s="497">
        <f t="shared" ca="1" si="26"/>
        <v>64.286116586876929</v>
      </c>
      <c r="P44" s="497">
        <f t="shared" ca="1" si="27"/>
        <v>62.523061335922918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IFERROR(__xludf.DUMMYFUNCTION("IMPORTRANGE(""https://docs.google.com/spreadsheets/d/1MeEWN-I1oV_STSDYn1IFDPWt_1FKiwhDph83XaGc0o0/edit?usp=sharing"",""งบพรบ!R65"")"),365113.28)</f>
        <v>365113.28</v>
      </c>
      <c r="N46" s="93">
        <f ca="1">IFERROR(__xludf.DUMMYFUNCTION("IMPORTRANGE(""https://docs.google.com/spreadsheets/d/1MeEWN-I1oV_STSDYn1IFDPWt_1FKiwhDph83XaGc0o0/edit?usp=sharing"",""งบพรบ!T65"")"),228280)</f>
        <v>228280</v>
      </c>
      <c r="O46" s="93">
        <f t="shared" ca="1" si="26"/>
        <v>64.286116586876929</v>
      </c>
      <c r="P46" s="93">
        <f t="shared" ca="1" si="27"/>
        <v>62.523061335922918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599545</v>
      </c>
      <c r="N53" s="116">
        <f t="shared" ca="1" si="31"/>
        <v>593167.52</v>
      </c>
      <c r="O53" s="116">
        <f t="shared" ref="O53:O61" ca="1" si="32">IF(L53&gt;0,N53*100/L53,0)</f>
        <v>83.006929750909606</v>
      </c>
      <c r="P53" s="116">
        <f t="shared" ref="P53:P61" ca="1" si="33">IF(M53&gt;0,N53*100/M53,0)</f>
        <v>98.936280012342692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599545</v>
      </c>
      <c r="N55" s="123">
        <f t="shared" ca="1" si="34"/>
        <v>593167.52</v>
      </c>
      <c r="O55" s="123">
        <f t="shared" ca="1" si="32"/>
        <v>83.006929750909606</v>
      </c>
      <c r="P55" s="123">
        <f t="shared" ca="1" si="33"/>
        <v>98.936280012342692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571645</v>
      </c>
      <c r="N56" s="497">
        <f t="shared" ca="1" si="35"/>
        <v>565267.52</v>
      </c>
      <c r="O56" s="497">
        <f t="shared" ca="1" si="32"/>
        <v>82.316516673947874</v>
      </c>
      <c r="P56" s="497">
        <f t="shared" ca="1" si="33"/>
        <v>98.884363547306464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IFERROR(__xludf.DUMMYFUNCTION("IMPORTRANGE(""https://docs.google.com/spreadsheets/d/1MeEWN-I1oV_STSDYn1IFDPWt_1FKiwhDph83XaGc0o0/edit?usp=sharing"",""งบพรบ!AB65"")"),571645)</f>
        <v>571645</v>
      </c>
      <c r="N58" s="93">
        <f ca="1">IFERROR(__xludf.DUMMYFUNCTION("IMPORTRANGE(""https://docs.google.com/spreadsheets/d/1MeEWN-I1oV_STSDYn1IFDPWt_1FKiwhDph83XaGc0o0/edit?usp=sharing"",""งบพรบ!AD65"")"),565267.52)</f>
        <v>565267.52</v>
      </c>
      <c r="O58" s="93">
        <f t="shared" ca="1" si="32"/>
        <v>82.316516673947874</v>
      </c>
      <c r="P58" s="93">
        <f t="shared" ca="1" si="33"/>
        <v>98.884363547306464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312980</v>
      </c>
      <c r="N88" s="155">
        <f t="shared" ca="1" si="49"/>
        <v>299998.14</v>
      </c>
      <c r="O88" s="155">
        <f t="shared" ref="O88:O96" ca="1" si="50">IF(L88&gt;0,N88*100/L88,0)</f>
        <v>75.475027674348397</v>
      </c>
      <c r="P88" s="155">
        <f t="shared" ref="P88:P96" ca="1" si="51">IF(M88&gt;0,N88*100/M88,0)</f>
        <v>95.852175857882287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312980</v>
      </c>
      <c r="N90" s="93">
        <f t="shared" ca="1" si="52"/>
        <v>299998.14</v>
      </c>
      <c r="O90" s="93">
        <f t="shared" ca="1" si="50"/>
        <v>75.475027674348397</v>
      </c>
      <c r="P90" s="93">
        <f t="shared" ca="1" si="51"/>
        <v>95.852175857882287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312980</v>
      </c>
      <c r="N91" s="497">
        <f t="shared" ca="1" si="53"/>
        <v>299998.14</v>
      </c>
      <c r="O91" s="497">
        <f t="shared" ca="1" si="50"/>
        <v>75.475027674348397</v>
      </c>
      <c r="P91" s="497">
        <f t="shared" ca="1" si="51"/>
        <v>95.852175857882287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IFERROR(__xludf.DUMMYFUNCTION("IMPORTRANGE(""https://docs.google.com/spreadsheets/d/1MeEWN-I1oV_STSDYn1IFDPWt_1FKiwhDph83XaGc0o0/edit?usp=sharing"",""งบพรบ!AV65"")"),312980)</f>
        <v>312980</v>
      </c>
      <c r="N93" s="93">
        <f ca="1">IFERROR(__xludf.DUMMYFUNCTION("IMPORTRANGE(""https://docs.google.com/spreadsheets/d/1MeEWN-I1oV_STSDYn1IFDPWt_1FKiwhDph83XaGc0o0/edit?usp=sharing"",""งบพรบ!AX65"")"),299998.14)</f>
        <v>299998.14</v>
      </c>
      <c r="O93" s="93">
        <f t="shared" ca="1" si="50"/>
        <v>75.475027674348397</v>
      </c>
      <c r="P93" s="93">
        <f t="shared" ca="1" si="51"/>
        <v>95.852175857882287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1950</v>
      </c>
      <c r="O149" s="155">
        <f t="shared" ref="O149:O157" ca="1" si="78">IF(L149&gt;0,N149*100/L149,0)</f>
        <v>26</v>
      </c>
      <c r="P149" s="155">
        <f t="shared" ref="P149:P157" ca="1" si="79">IF(M149&gt;0,N149*100/M149,0)</f>
        <v>26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1950</v>
      </c>
      <c r="O151" s="93">
        <f t="shared" ca="1" si="78"/>
        <v>26</v>
      </c>
      <c r="P151" s="93">
        <f t="shared" ca="1" si="79"/>
        <v>26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1950</v>
      </c>
      <c r="O152" s="497">
        <f t="shared" ca="1" si="78"/>
        <v>26</v>
      </c>
      <c r="P152" s="497">
        <f t="shared" ca="1" si="79"/>
        <v>26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IFERROR(__xludf.DUMMYFUNCTION("IMPORTRANGE(""https://docs.google.com/spreadsheets/d/1MeEWN-I1oV_STSDYn1IFDPWt_1FKiwhDph83XaGc0o0/edit?usp=sharing"",""งบพรบ!CB65"")"),1950)</f>
        <v>1950</v>
      </c>
      <c r="O154" s="93">
        <f t="shared" ca="1" si="78"/>
        <v>26</v>
      </c>
      <c r="P154" s="93">
        <f t="shared" ca="1" si="79"/>
        <v>26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31190</v>
      </c>
      <c r="N165" s="155">
        <f t="shared" ca="1" si="84"/>
        <v>30570</v>
      </c>
      <c r="O165" s="155">
        <f t="shared" ref="O165:O173" ca="1" si="85">IF(L165&gt;0,N165*100/L165,0)</f>
        <v>145.22565320665083</v>
      </c>
      <c r="P165" s="155">
        <f t="shared" ref="P165:P173" ca="1" si="86">IF(M165&gt;0,N165*100/M165,0)</f>
        <v>98.01218339211286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31190</v>
      </c>
      <c r="N167" s="93">
        <f t="shared" ca="1" si="87"/>
        <v>30570</v>
      </c>
      <c r="O167" s="93">
        <f t="shared" ca="1" si="85"/>
        <v>145.22565320665083</v>
      </c>
      <c r="P167" s="93">
        <f t="shared" ca="1" si="86"/>
        <v>98.01218339211286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31190</v>
      </c>
      <c r="N168" s="497">
        <f t="shared" ca="1" si="88"/>
        <v>30570</v>
      </c>
      <c r="O168" s="497">
        <f t="shared" ca="1" si="85"/>
        <v>145.22565320665083</v>
      </c>
      <c r="P168" s="497">
        <f t="shared" ca="1" si="86"/>
        <v>98.01218339211286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IFERROR(__xludf.DUMMYFUNCTION("IMPORTRANGE(""https://docs.google.com/spreadsheets/d/1MeEWN-I1oV_STSDYn1IFDPWt_1FKiwhDph83XaGc0o0/edit?usp=sharing"",""งบพรบ!CJ65"")"),31190)</f>
        <v>31190</v>
      </c>
      <c r="N170" s="93">
        <f ca="1">IFERROR(__xludf.DUMMYFUNCTION("IMPORTRANGE(""https://docs.google.com/spreadsheets/d/1MeEWN-I1oV_STSDYn1IFDPWt_1FKiwhDph83XaGc0o0/edit?usp=sharing"",""งบพรบ!CL65"")"),30570)</f>
        <v>30570</v>
      </c>
      <c r="O170" s="93">
        <f t="shared" ca="1" si="85"/>
        <v>145.22565320665083</v>
      </c>
      <c r="P170" s="93">
        <f t="shared" ca="1" si="86"/>
        <v>98.01218339211286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35500</v>
      </c>
      <c r="N181" s="155">
        <f t="shared" ca="1" si="92"/>
        <v>19120</v>
      </c>
      <c r="O181" s="155">
        <f t="shared" ref="O181:O189" ca="1" si="93">IF(L181&gt;0,N181*100/L181,0)</f>
        <v>42.021978021978022</v>
      </c>
      <c r="P181" s="155">
        <f t="shared" ref="P181:P189" ca="1" si="94">IF(M181&gt;0,N181*100/M181,0)</f>
        <v>53.859154929577464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35500</v>
      </c>
      <c r="N183" s="93">
        <f t="shared" ca="1" si="95"/>
        <v>19120</v>
      </c>
      <c r="O183" s="93">
        <f t="shared" ca="1" si="93"/>
        <v>42.021978021978022</v>
      </c>
      <c r="P183" s="93">
        <f t="shared" ca="1" si="94"/>
        <v>53.859154929577464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35500</v>
      </c>
      <c r="N184" s="497">
        <f t="shared" ca="1" si="96"/>
        <v>19120</v>
      </c>
      <c r="O184" s="497">
        <f t="shared" ca="1" si="93"/>
        <v>42.021978021978022</v>
      </c>
      <c r="P184" s="497">
        <f t="shared" ca="1" si="94"/>
        <v>53.859154929577464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IFERROR(__xludf.DUMMYFUNCTION("IMPORTRANGE(""https://docs.google.com/spreadsheets/d/1MeEWN-I1oV_STSDYn1IFDPWt_1FKiwhDph83XaGc0o0/edit?usp=sharing"",""งบพรบ!CT65"")"),35500)</f>
        <v>35500</v>
      </c>
      <c r="N186" s="93">
        <f ca="1">IFERROR(__xludf.DUMMYFUNCTION("IMPORTRANGE(""https://docs.google.com/spreadsheets/d/1MeEWN-I1oV_STSDYn1IFDPWt_1FKiwhDph83XaGc0o0/edit?usp=sharing"",""งบพรบ!CV65"")"),19120)</f>
        <v>19120</v>
      </c>
      <c r="O186" s="93">
        <f t="shared" ca="1" si="93"/>
        <v>42.021978021978022</v>
      </c>
      <c r="P186" s="93">
        <f t="shared" ca="1" si="94"/>
        <v>53.859154929577464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1120</v>
      </c>
      <c r="O191" s="155">
        <f ca="1">IF(L191&gt;0,N191*100/L191,0)</f>
        <v>18.666666666666668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18775</v>
      </c>
      <c r="O261" s="155">
        <f t="shared" ref="O261:O269" ca="1" si="117">IF(L261&gt;0,N261*100/L261,0)</f>
        <v>69.795539033457246</v>
      </c>
      <c r="P261" s="155">
        <f t="shared" ref="P261:P269" ca="1" si="118">IF(M261&gt;0,N261*100/M261,0)</f>
        <v>78.556485355648533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18775</v>
      </c>
      <c r="O263" s="93">
        <f t="shared" ca="1" si="117"/>
        <v>69.795539033457246</v>
      </c>
      <c r="P263" s="93">
        <f t="shared" ca="1" si="118"/>
        <v>78.556485355648533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18775</v>
      </c>
      <c r="O264" s="497">
        <f t="shared" ca="1" si="117"/>
        <v>69.795539033457246</v>
      </c>
      <c r="P264" s="497">
        <f t="shared" ca="1" si="118"/>
        <v>78.556485355648533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IFERROR(__xludf.DUMMYFUNCTION("IMPORTRANGE(""https://docs.google.com/spreadsheets/d/1MeEWN-I1oV_STSDYn1IFDPWt_1FKiwhDph83XaGc0o0/edit?usp=sharing"",""งบพรบ!DD65"")"),23900)</f>
        <v>23900</v>
      </c>
      <c r="N266" s="93">
        <f ca="1">IFERROR(__xludf.DUMMYFUNCTION("IMPORTRANGE(""https://docs.google.com/spreadsheets/d/1MeEWN-I1oV_STSDYn1IFDPWt_1FKiwhDph83XaGc0o0/edit?usp=sharing"",""งบพรบ!DF65"")"),18775)</f>
        <v>18775</v>
      </c>
      <c r="O266" s="93">
        <f t="shared" ca="1" si="117"/>
        <v>69.795539033457246</v>
      </c>
      <c r="P266" s="93">
        <f t="shared" ca="1" si="118"/>
        <v>78.556485355648533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437</v>
      </c>
      <c r="K327" s="445">
        <f ca="1">IF(I327&gt;0,J327*100/I327,0)</f>
        <v>62.428571428571431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94940</v>
      </c>
      <c r="O328" s="155">
        <f t="shared" ref="O328:O336" ca="1" si="150">IF(L328&gt;0,N328*100/L328,0)</f>
        <v>58.968944099378881</v>
      </c>
      <c r="P328" s="155">
        <f t="shared" ref="P328:P336" ca="1" si="151">IF(M328&gt;0,N328*100/M328,0)</f>
        <v>77.030425963488838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94940</v>
      </c>
      <c r="O330" s="93">
        <f t="shared" ca="1" si="150"/>
        <v>58.968944099378881</v>
      </c>
      <c r="P330" s="93">
        <f t="shared" ca="1" si="151"/>
        <v>77.030425963488838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94940</v>
      </c>
      <c r="O331" s="497">
        <f t="shared" ca="1" si="150"/>
        <v>58.968944099378881</v>
      </c>
      <c r="P331" s="497">
        <f t="shared" ca="1" si="151"/>
        <v>77.030425963488838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IFERROR(__xludf.DUMMYFUNCTION("IMPORTRANGE(""https://docs.google.com/spreadsheets/d/1MeEWN-I1oV_STSDYn1IFDPWt_1FKiwhDph83XaGc0o0/edit?usp=sharing"",""งบพรบ!ER65"")"),123250)</f>
        <v>123250</v>
      </c>
      <c r="N333" s="93">
        <f ca="1">IFERROR(__xludf.DUMMYFUNCTION("IMPORTRANGE(""https://docs.google.com/spreadsheets/d/1MeEWN-I1oV_STSDYn1IFDPWt_1FKiwhDph83XaGc0o0/edit?usp=sharing"",""งบพรบ!ET65"")"),94940)</f>
        <v>94940</v>
      </c>
      <c r="O333" s="93">
        <f t="shared" ca="1" si="150"/>
        <v>58.968944099378881</v>
      </c>
      <c r="P333" s="93">
        <f t="shared" ca="1" si="151"/>
        <v>77.030425963488838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IFERROR(__xludf.DUMMYFUNCTION("IMPORTRANGE(""https://docs.google.com/spreadsheets/d/1kVcqe37tkHyjCSG3S0O1AXqVkqjo8mSIZil3BcpIysc/edit?usp=sharing"",""ศูนย์!D65"")"),300)</f>
        <v>300</v>
      </c>
      <c r="K338" s="497">
        <f ca="1">IF(I338&gt;0,J338*100/I338,0)</f>
        <v>42.857142857142854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359405</v>
      </c>
      <c r="N345" s="155">
        <f t="shared" ca="1" si="155"/>
        <v>302389</v>
      </c>
      <c r="O345" s="155">
        <f t="shared" ref="O345:O353" ca="1" si="156">IF(L345&gt;0,N345*100/L345,0)</f>
        <v>64.795791548812886</v>
      </c>
      <c r="P345" s="155">
        <f t="shared" ref="P345:P353" ca="1" si="157">IF(M345&gt;0,N345*100/M345,0)</f>
        <v>84.13600255978632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359405</v>
      </c>
      <c r="N347" s="93">
        <f t="shared" ca="1" si="158"/>
        <v>302389</v>
      </c>
      <c r="O347" s="93">
        <f t="shared" ca="1" si="156"/>
        <v>64.795791548812886</v>
      </c>
      <c r="P347" s="93">
        <f t="shared" ca="1" si="157"/>
        <v>84.13600255978632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313405</v>
      </c>
      <c r="N348" s="497">
        <f t="shared" ca="1" si="159"/>
        <v>256389</v>
      </c>
      <c r="O348" s="497">
        <f t="shared" ca="1" si="156"/>
        <v>60.946324997622895</v>
      </c>
      <c r="P348" s="497">
        <f t="shared" ca="1" si="157"/>
        <v>81.807565290917509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IFERROR(__xludf.DUMMYFUNCTION("IMPORTRANGE(""https://docs.google.com/spreadsheets/d/1MeEWN-I1oV_STSDYn1IFDPWt_1FKiwhDph83XaGc0o0/edit?usp=sharing"",""งบพรบ!FB65"")"),313405)</f>
        <v>313405</v>
      </c>
      <c r="N350" s="93">
        <f ca="1">IFERROR(__xludf.DUMMYFUNCTION("IMPORTRANGE(""https://docs.google.com/spreadsheets/d/1MeEWN-I1oV_STSDYn1IFDPWt_1FKiwhDph83XaGc0o0/edit?usp=sharing"",""งบพรบ!FD65"")"),256389)</f>
        <v>256389</v>
      </c>
      <c r="O350" s="93">
        <f t="shared" ca="1" si="156"/>
        <v>60.946324997622895</v>
      </c>
      <c r="P350" s="93">
        <f t="shared" ca="1" si="157"/>
        <v>81.807565290917509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32</v>
      </c>
      <c r="K364" s="479">
        <f t="shared" ca="1" si="161"/>
        <v>46.376811594202898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32</v>
      </c>
      <c r="K374" s="491">
        <f t="shared" ca="1" si="163"/>
        <v>49.230769230769234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IFERROR(__xludf.DUMMYFUNCTION("IMPORTRANGE(""https://docs.google.com/spreadsheets/d/1XWAQStnk-4SwqDmLtmXYiTMKHgktTP8We1SCoS47DrQ/edit?usp=sharing"",""จัดที่ดิน!AJ65"")"),34)</f>
        <v>34</v>
      </c>
      <c r="K379" s="497">
        <f t="shared" ca="1" si="164"/>
        <v>52.307692307692307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IFERROR(__xludf.DUMMYFUNCTION("IMPORTRANGE(""https://docs.google.com/spreadsheets/d/1XWAQStnk-4SwqDmLtmXYiTMKHgktTP8We1SCoS47DrQ/edit?usp=sharing"",""จัดที่ดิน!AK65"")"),483.75)</f>
        <v>483.75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IFERROR(__xludf.DUMMYFUNCTION("IMPORTRANGE(""https://docs.google.com/spreadsheets/d/1XWAQStnk-4SwqDmLtmXYiTMKHgktTP8We1SCoS47DrQ/edit?usp=sharing"",""จัดที่ดิน!AL65"")"),32)</f>
        <v>32</v>
      </c>
      <c r="K381" s="497">
        <f t="shared" ca="1" si="164"/>
        <v>49.230769230769234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IFERROR(__xludf.DUMMYFUNCTION("IMPORTRANGE(""https://docs.google.com/spreadsheets/d/1XWAQStnk-4SwqDmLtmXYiTMKHgktTP8We1SCoS47DrQ/edit?usp=sharing"",""จัดที่ดิน!AM65"")"),524.49)</f>
        <v>524.49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498913</v>
      </c>
      <c r="N414" s="549">
        <f t="shared" si="181"/>
        <v>223868</v>
      </c>
      <c r="O414" s="549">
        <f ca="1">IF(L414&gt;0,N414*100/L414,0)</f>
        <v>44.871149879838768</v>
      </c>
      <c r="P414" s="549">
        <f ca="1">IF(M414&gt;0,N414*100/M414,0)</f>
        <v>44.871149879838768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61520</v>
      </c>
      <c r="O419" s="155">
        <f t="shared" ref="O419:O424" ca="1" si="185">IF(L419&gt;0,N419*100/L419,0)</f>
        <v>78.210017798118486</v>
      </c>
      <c r="P419" s="155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61520</v>
      </c>
      <c r="O421" s="93">
        <f t="shared" ca="1" si="185"/>
        <v>78.210017798118486</v>
      </c>
      <c r="P421" s="93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61520</v>
      </c>
      <c r="O422" s="497">
        <f t="shared" ca="1" si="185"/>
        <v>78.210017798118486</v>
      </c>
      <c r="P422" s="497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61520</v>
      </c>
      <c r="O424" s="93">
        <f t="shared" ca="1" si="185"/>
        <v>78.210017798118486</v>
      </c>
      <c r="P424" s="93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35138</v>
      </c>
      <c r="O467" s="195">
        <f t="shared" ref="O467:O472" ca="1" si="207">IF(L467&gt;0,N467*100/L467,0)</f>
        <v>19.539239183019802</v>
      </c>
      <c r="P467" s="195">
        <f t="shared" ref="P467:P472" ca="1" si="208">IF(M467&gt;0,N467*100/M467,0)</f>
        <v>19.539239183019802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35138</v>
      </c>
      <c r="O469" s="93">
        <f t="shared" ca="1" si="207"/>
        <v>19.539239183019802</v>
      </c>
      <c r="P469" s="93">
        <f t="shared" ca="1" si="208"/>
        <v>19.539239183019802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35138</v>
      </c>
      <c r="O470" s="497">
        <f t="shared" ca="1" si="207"/>
        <v>19.539239183019802</v>
      </c>
      <c r="P470" s="497">
        <f t="shared" ca="1" si="208"/>
        <v>19.539239183019802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35138</v>
      </c>
      <c r="O472" s="93">
        <f t="shared" ca="1" si="207"/>
        <v>19.539239183019802</v>
      </c>
      <c r="P472" s="93">
        <f t="shared" ca="1" si="208"/>
        <v>19.539239183019802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10235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123210</v>
      </c>
      <c r="O544" s="155">
        <f t="shared" ref="O544:O549" ca="1" si="237">IF(L544&gt;0,N544*100/L544,0)</f>
        <v>56.440677966101696</v>
      </c>
      <c r="P544" s="155">
        <f t="shared" ref="P544:P549" ca="1" si="238">IF(M544&gt;0,N544*100/M544,0)</f>
        <v>56.440677966101696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123210</v>
      </c>
      <c r="O546" s="93">
        <f t="shared" ca="1" si="237"/>
        <v>56.440677966101696</v>
      </c>
      <c r="P546" s="93">
        <f t="shared" ca="1" si="238"/>
        <v>56.440677966101696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123210</v>
      </c>
      <c r="O547" s="497">
        <f t="shared" ca="1" si="237"/>
        <v>56.440677966101696</v>
      </c>
      <c r="P547" s="497">
        <f t="shared" ca="1" si="238"/>
        <v>56.440677966101696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123210</v>
      </c>
      <c r="O549" s="93">
        <f t="shared" ca="1" si="237"/>
        <v>56.440677966101696</v>
      </c>
      <c r="P549" s="93">
        <f t="shared" ca="1" si="238"/>
        <v>56.440677966101696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45210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188.75</v>
      </c>
      <c r="K592" s="672">
        <f t="shared" ref="K592:K594" ca="1" si="254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188.75</v>
      </c>
      <c r="K593" s="411">
        <f t="shared" ca="1" si="254"/>
        <v>99.820191443228097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21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1.75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42.553191489361701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42.553191489361701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42.553191489361701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</f>
        <v>9400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42.553191489361701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IFERROR(__xludf.DUMMYFUNCTION("IMPORTRANGE(""https://docs.google.com/spreadsheets/d/19vJNZY_5yjcGF2XGBMNZRCAIB0Kwfpjp8YEOfu-bneM/edit?usp=sharing"",""งานกองทุน!F65"")"),736805.23)</f>
        <v>736805.23</v>
      </c>
      <c r="K821" s="497">
        <f t="shared" ref="K821:K828" ca="1" si="335">IF(I821&gt;0,J821*100/I821,0)</f>
        <v>60.275269836879573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IFERROR(__xludf.DUMMYFUNCTION("IMPORTRANGE(""https://docs.google.com/spreadsheets/d/19vJNZY_5yjcGF2XGBMNZRCAIB0Kwfpjp8YEOfu-bneM/edit?usp=sharing"",""งานกองทุน!E65"")"),53)</f>
        <v>53</v>
      </c>
      <c r="K822" s="497">
        <f t="shared" ca="1" si="335"/>
        <v>55.789473684210527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IFERROR(__xludf.DUMMYFUNCTION("IMPORTRANGE(""https://docs.google.com/spreadsheets/d/19vJNZY_5yjcGF2XGBMNZRCAIB0Kwfpjp8YEOfu-bneM/edit?usp=sharing"",""งานกองทุน!K65"")"),67182.12)</f>
        <v>67182.12</v>
      </c>
      <c r="K823" s="497">
        <f t="shared" ca="1" si="335"/>
        <v>16.73098812194608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IFERROR(__xludf.DUMMYFUNCTION("IMPORTRANGE(""https://docs.google.com/spreadsheets/d/19vJNZY_5yjcGF2XGBMNZRCAIB0Kwfpjp8YEOfu-bneM/edit?usp=sharing"",""งานกองทุน!J65"")"),7)</f>
        <v>7</v>
      </c>
      <c r="K824" s="497">
        <f t="shared" ca="1" si="335"/>
        <v>33.333333333333336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IFERROR(__xludf.DUMMYFUNCTION("IMPORTRANGE(""https://docs.google.com/spreadsheets/d/19vJNZY_5yjcGF2XGBMNZRCAIB0Kwfpjp8YEOfu-bneM/edit?usp=sharing"",""งานกองทุน!U65"")"),685000)</f>
        <v>685000</v>
      </c>
      <c r="K827" s="497">
        <f t="shared" ca="1" si="335"/>
        <v>68.5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IFERROR(__xludf.DUMMYFUNCTION("IMPORTRANGE(""https://docs.google.com/spreadsheets/d/19vJNZY_5yjcGF2XGBMNZRCAIB0Kwfpjp8YEOfu-bneM/edit?usp=sharing"",""งานกองทุน!T65"")"),18)</f>
        <v>18</v>
      </c>
      <c r="K828" s="502">
        <f t="shared" ca="1" si="335"/>
        <v>50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B8A9E-B0C6-464C-B34D-5085AB9F9E3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374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2827929</v>
      </c>
      <c r="N8" s="22">
        <f t="shared" ca="1" si="0"/>
        <v>1858868.8399999999</v>
      </c>
      <c r="O8" s="22">
        <f t="shared" ref="O8:O16" ca="1" si="1">IF(L8&gt;0,N8*100/L8,0)</f>
        <v>59.560707665738001</v>
      </c>
      <c r="P8" s="22">
        <f t="shared" ref="P8:P16" ca="1" si="2">IF(M8&gt;0,N8*100/M8,0)</f>
        <v>65.732514500894467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2827929</v>
      </c>
      <c r="N10" s="30">
        <f t="shared" ca="1" si="3"/>
        <v>1858868.8399999999</v>
      </c>
      <c r="O10" s="30">
        <f t="shared" ca="1" si="1"/>
        <v>59.560707665738001</v>
      </c>
      <c r="P10" s="30">
        <f t="shared" ca="1" si="2"/>
        <v>65.732514500894467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2615729</v>
      </c>
      <c r="N11" s="497">
        <f t="shared" ca="1" si="4"/>
        <v>1646668.8399999999</v>
      </c>
      <c r="O11" s="497">
        <f t="shared" ca="1" si="1"/>
        <v>56.610583529436035</v>
      </c>
      <c r="P11" s="497">
        <f t="shared" ca="1" si="2"/>
        <v>62.952578038474172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2615729</v>
      </c>
      <c r="N13" s="93">
        <f t="shared" ca="1" si="5"/>
        <v>1646668.8399999999</v>
      </c>
      <c r="O13" s="93">
        <f t="shared" ca="1" si="1"/>
        <v>56.610583529436035</v>
      </c>
      <c r="P13" s="93">
        <f t="shared" ca="1" si="2"/>
        <v>62.952578038474172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1977436</v>
      </c>
      <c r="N18" s="22">
        <f t="shared" ca="1" si="8"/>
        <v>1483291.8399999999</v>
      </c>
      <c r="O18" s="22">
        <f t="shared" ref="O18:O26" ca="1" si="9">IF(L18&gt;0,N18*100/L18,0)</f>
        <v>65.329668897039909</v>
      </c>
      <c r="P18" s="22">
        <f t="shared" ref="P18:P26" ca="1" si="10">IF(M18&gt;0,N18*100/M18,0)</f>
        <v>75.010864574125279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1977436</v>
      </c>
      <c r="N20" s="30">
        <f t="shared" ca="1" si="11"/>
        <v>1483291.8399999999</v>
      </c>
      <c r="O20" s="30">
        <f t="shared" ca="1" si="9"/>
        <v>65.329668897039909</v>
      </c>
      <c r="P20" s="30">
        <f t="shared" ca="1" si="10"/>
        <v>75.010864574125279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1765236</v>
      </c>
      <c r="N21" s="497">
        <f t="shared" ca="1" si="12"/>
        <v>1271091.8399999999</v>
      </c>
      <c r="O21" s="497">
        <f t="shared" ca="1" si="9"/>
        <v>61.755289874224587</v>
      </c>
      <c r="P21" s="497">
        <f t="shared" ca="1" si="10"/>
        <v>72.006906725219736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1765236</v>
      </c>
      <c r="N23" s="93">
        <f t="shared" ca="1" si="13"/>
        <v>1271091.8399999999</v>
      </c>
      <c r="O23" s="93">
        <f t="shared" ca="1" si="9"/>
        <v>61.755289874224587</v>
      </c>
      <c r="P23" s="93">
        <f t="shared" ca="1" si="10"/>
        <v>72.006906725219736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375577</v>
      </c>
      <c r="O28" s="22">
        <f t="shared" ref="O28:O37" ca="1" si="17">IF(L28&gt;0,N28*100/L28,0)</f>
        <v>44.15991666010185</v>
      </c>
      <c r="P28" s="22">
        <f t="shared" ref="P28:P37" ca="1" si="18">IF(M28&gt;0,N28*100/M28,0)</f>
        <v>44.15991666010185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375577</v>
      </c>
      <c r="O30" s="30">
        <f t="shared" ca="1" si="17"/>
        <v>44.15991666010185</v>
      </c>
      <c r="P30" s="30">
        <f t="shared" ca="1" si="18"/>
        <v>44.15991666010185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850493</v>
      </c>
      <c r="N31" s="497">
        <f t="shared" si="20"/>
        <v>375577</v>
      </c>
      <c r="O31" s="497">
        <f t="shared" ca="1" si="17"/>
        <v>44.15991666010185</v>
      </c>
      <c r="P31" s="497">
        <f t="shared" ca="1" si="18"/>
        <v>44.15991666010185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850493</v>
      </c>
      <c r="N33" s="93">
        <f t="shared" si="21"/>
        <v>375577</v>
      </c>
      <c r="O33" s="93">
        <f t="shared" ca="1" si="17"/>
        <v>44.15991666010185</v>
      </c>
      <c r="P33" s="93">
        <f t="shared" ca="1" si="18"/>
        <v>44.15991666010185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1977436</v>
      </c>
      <c r="N37" s="59">
        <f t="shared" ca="1" si="24"/>
        <v>1483291.8399999999</v>
      </c>
      <c r="O37" s="59">
        <f t="shared" ca="1" si="17"/>
        <v>65.329668897039909</v>
      </c>
      <c r="P37" s="59">
        <f t="shared" ca="1" si="18"/>
        <v>75.010864574125279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333676</v>
      </c>
      <c r="N41" s="85">
        <f t="shared" ca="1" si="25"/>
        <v>177771</v>
      </c>
      <c r="O41" s="85">
        <f t="shared" ref="O41:O49" ca="1" si="26">IF(L41&gt;0,N41*100/L41,0)</f>
        <v>54.191536449600967</v>
      </c>
      <c r="P41" s="85">
        <f t="shared" ref="P41:P49" ca="1" si="27">IF(M41&gt;0,N41*100/M41,0)</f>
        <v>53.276531725386306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333676</v>
      </c>
      <c r="N43" s="92">
        <f t="shared" ca="1" si="28"/>
        <v>177771</v>
      </c>
      <c r="O43" s="92">
        <f t="shared" ca="1" si="26"/>
        <v>54.191536449600967</v>
      </c>
      <c r="P43" s="92">
        <f t="shared" ca="1" si="27"/>
        <v>53.276531725386306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333676</v>
      </c>
      <c r="N44" s="497">
        <f t="shared" ca="1" si="29"/>
        <v>177771</v>
      </c>
      <c r="O44" s="497">
        <f t="shared" ca="1" si="26"/>
        <v>54.191536449600967</v>
      </c>
      <c r="P44" s="497">
        <f t="shared" ca="1" si="27"/>
        <v>53.276531725386306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IFERROR(__xludf.DUMMYFUNCTION("IMPORTRANGE(""https://docs.google.com/spreadsheets/d/1MeEWN-I1oV_STSDYn1IFDPWt_1FKiwhDph83XaGc0o0/edit?usp=sharing"",""งบพรบ!R66"")"),333676)</f>
        <v>333676</v>
      </c>
      <c r="N46" s="93">
        <f ca="1">IFERROR(__xludf.DUMMYFUNCTION("IMPORTRANGE(""https://docs.google.com/spreadsheets/d/1MeEWN-I1oV_STSDYn1IFDPWt_1FKiwhDph83XaGc0o0/edit?usp=sharing"",""งบพรบ!T66"")"),177771)</f>
        <v>177771</v>
      </c>
      <c r="O46" s="93">
        <f t="shared" ca="1" si="26"/>
        <v>54.191536449600967</v>
      </c>
      <c r="P46" s="93">
        <f t="shared" ca="1" si="27"/>
        <v>53.276531725386306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238050</v>
      </c>
      <c r="N53" s="116">
        <f t="shared" ca="1" si="31"/>
        <v>190729.84</v>
      </c>
      <c r="O53" s="116">
        <f t="shared" ref="O53:O61" ca="1" si="32">IF(L53&gt;0,N53*100/L53,0)</f>
        <v>60.091316950220545</v>
      </c>
      <c r="P53" s="116">
        <f t="shared" ref="P53:P61" ca="1" si="33">IF(M53&gt;0,N53*100/M53,0)</f>
        <v>80.121755933627384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238050</v>
      </c>
      <c r="N55" s="123">
        <f t="shared" ca="1" si="34"/>
        <v>190729.84</v>
      </c>
      <c r="O55" s="123">
        <f t="shared" ca="1" si="32"/>
        <v>60.091316950220545</v>
      </c>
      <c r="P55" s="123">
        <f t="shared" ca="1" si="33"/>
        <v>80.121755933627384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238050</v>
      </c>
      <c r="N56" s="497">
        <f t="shared" ca="1" si="35"/>
        <v>190729.84</v>
      </c>
      <c r="O56" s="497">
        <f t="shared" ca="1" si="32"/>
        <v>60.091316950220545</v>
      </c>
      <c r="P56" s="497">
        <f t="shared" ca="1" si="33"/>
        <v>80.121755933627384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IFERROR(__xludf.DUMMYFUNCTION("IMPORTRANGE(""https://docs.google.com/spreadsheets/d/1MeEWN-I1oV_STSDYn1IFDPWt_1FKiwhDph83XaGc0o0/edit?usp=sharing"",""งบพรบ!AB66"")"),238050)</f>
        <v>238050</v>
      </c>
      <c r="N58" s="93">
        <f ca="1">IFERROR(__xludf.DUMMYFUNCTION("IMPORTRANGE(""https://docs.google.com/spreadsheets/d/1MeEWN-I1oV_STSDYn1IFDPWt_1FKiwhDph83XaGc0o0/edit?usp=sharing"",""งบพรบ!AD66"")"),190729.84)</f>
        <v>190729.84</v>
      </c>
      <c r="O58" s="93">
        <f t="shared" ca="1" si="32"/>
        <v>60.091316950220545</v>
      </c>
      <c r="P58" s="93">
        <f t="shared" ca="1" si="33"/>
        <v>80.121755933627384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90560</v>
      </c>
      <c r="N88" s="155">
        <f t="shared" ca="1" si="49"/>
        <v>88500</v>
      </c>
      <c r="O88" s="155">
        <f t="shared" ref="O88:O96" ca="1" si="50">IF(L88&gt;0,N88*100/L88,0)</f>
        <v>89.611178614823814</v>
      </c>
      <c r="P88" s="155">
        <f t="shared" ref="P88:P96" ca="1" si="51">IF(M88&gt;0,N88*100/M88,0)</f>
        <v>97.725265017667851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90560</v>
      </c>
      <c r="N90" s="93">
        <f t="shared" ca="1" si="52"/>
        <v>88500</v>
      </c>
      <c r="O90" s="93">
        <f t="shared" ca="1" si="50"/>
        <v>89.611178614823814</v>
      </c>
      <c r="P90" s="93">
        <f t="shared" ca="1" si="51"/>
        <v>97.725265017667851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90560</v>
      </c>
      <c r="N91" s="497">
        <f t="shared" ca="1" si="53"/>
        <v>88500</v>
      </c>
      <c r="O91" s="497">
        <f t="shared" ca="1" si="50"/>
        <v>89.611178614823814</v>
      </c>
      <c r="P91" s="497">
        <f t="shared" ca="1" si="51"/>
        <v>97.725265017667851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IFERROR(__xludf.DUMMYFUNCTION("IMPORTRANGE(""https://docs.google.com/spreadsheets/d/1MeEWN-I1oV_STSDYn1IFDPWt_1FKiwhDph83XaGc0o0/edit?usp=sharing"",""งบพรบ!AV66"")"),90560)</f>
        <v>90560</v>
      </c>
      <c r="N93" s="93">
        <f ca="1">IFERROR(__xludf.DUMMYFUNCTION("IMPORTRANGE(""https://docs.google.com/spreadsheets/d/1MeEWN-I1oV_STSDYn1IFDPWt_1FKiwhDph83XaGc0o0/edit?usp=sharing"",""งบพรบ!AX66"")"),88500)</f>
        <v>88500</v>
      </c>
      <c r="O93" s="93">
        <f t="shared" ca="1" si="50"/>
        <v>89.611178614823814</v>
      </c>
      <c r="P93" s="93">
        <f t="shared" ca="1" si="51"/>
        <v>97.725265017667851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31560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31560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31560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IFERROR(__xludf.DUMMYFUNCTION("IMPORTRANGE(""https://docs.google.com/spreadsheets/d/1MeEWN-I1oV_STSDYn1IFDPWt_1FKiwhDph83XaGc0o0/edit?usp=sharing"",""งบพรบ!CJ66"")"),31560)</f>
        <v>31560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211000</v>
      </c>
      <c r="N181" s="155">
        <f t="shared" ca="1" si="92"/>
        <v>177263</v>
      </c>
      <c r="O181" s="155">
        <f t="shared" ref="O181:O189" ca="1" si="93">IF(L181&gt;0,N181*100/L181,0)</f>
        <v>70.009083728278043</v>
      </c>
      <c r="P181" s="155">
        <f t="shared" ref="P181:P189" ca="1" si="94">IF(M181&gt;0,N181*100/M181,0)</f>
        <v>84.010900473933646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211000</v>
      </c>
      <c r="N183" s="93">
        <f t="shared" ca="1" si="95"/>
        <v>177263</v>
      </c>
      <c r="O183" s="93">
        <f t="shared" ca="1" si="93"/>
        <v>70.009083728278043</v>
      </c>
      <c r="P183" s="93">
        <f t="shared" ca="1" si="94"/>
        <v>84.010900473933646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211000</v>
      </c>
      <c r="N184" s="497">
        <f t="shared" ca="1" si="96"/>
        <v>177263</v>
      </c>
      <c r="O184" s="497">
        <f t="shared" ca="1" si="93"/>
        <v>70.009083728278043</v>
      </c>
      <c r="P184" s="497">
        <f t="shared" ca="1" si="94"/>
        <v>84.010900473933646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IFERROR(__xludf.DUMMYFUNCTION("IMPORTRANGE(""https://docs.google.com/spreadsheets/d/1MeEWN-I1oV_STSDYn1IFDPWt_1FKiwhDph83XaGc0o0/edit?usp=sharing"",""งบพรบ!CT66"")"),211000)</f>
        <v>211000</v>
      </c>
      <c r="N186" s="93">
        <f ca="1">IFERROR(__xludf.DUMMYFUNCTION("IMPORTRANGE(""https://docs.google.com/spreadsheets/d/1MeEWN-I1oV_STSDYn1IFDPWt_1FKiwhDph83XaGc0o0/edit?usp=sharing"",""งบพรบ!CV66"")"),177263)</f>
        <v>177263</v>
      </c>
      <c r="O186" s="93">
        <f t="shared" ca="1" si="93"/>
        <v>70.009083728278043</v>
      </c>
      <c r="P186" s="93">
        <f t="shared" ca="1" si="94"/>
        <v>84.010900473933646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72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91.96652719665272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91.96652719665272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91.96652719665272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IFERROR(__xludf.DUMMYFUNCTION("IMPORTRANGE(""https://docs.google.com/spreadsheets/d/1MeEWN-I1oV_STSDYn1IFDPWt_1FKiwhDph83XaGc0o0/edit?usp=sharing"",""งบพรบ!DD66"")"),23900)</f>
        <v>23900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91.96652719665272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182500</v>
      </c>
      <c r="N298" s="155">
        <f t="shared" ca="1" si="135"/>
        <v>155122</v>
      </c>
      <c r="O298" s="155">
        <f t="shared" ref="O298:O306" ca="1" si="136">IF(L298&gt;0,N298*100/L298,0)</f>
        <v>63.574590163934424</v>
      </c>
      <c r="P298" s="155">
        <f t="shared" ref="P298:P306" ca="1" si="137">IF(M298&gt;0,N298*100/M298,0)</f>
        <v>84.998356164383566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182500</v>
      </c>
      <c r="N300" s="93">
        <f t="shared" ca="1" si="138"/>
        <v>155122</v>
      </c>
      <c r="O300" s="93">
        <f t="shared" ca="1" si="136"/>
        <v>63.574590163934424</v>
      </c>
      <c r="P300" s="93">
        <f t="shared" ca="1" si="137"/>
        <v>84.998356164383566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182500</v>
      </c>
      <c r="N301" s="497">
        <f t="shared" ca="1" si="139"/>
        <v>155122</v>
      </c>
      <c r="O301" s="497">
        <f t="shared" ca="1" si="136"/>
        <v>63.574590163934424</v>
      </c>
      <c r="P301" s="497">
        <f t="shared" ca="1" si="137"/>
        <v>84.998356164383566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IFERROR(__xludf.DUMMYFUNCTION("IMPORTRANGE(""https://docs.google.com/spreadsheets/d/1MeEWN-I1oV_STSDYn1IFDPWt_1FKiwhDph83XaGc0o0/edit?usp=sharing"",""งบพรบ!DX66"")"),182500)</f>
        <v>182500</v>
      </c>
      <c r="N303" s="93">
        <f ca="1">IFERROR(__xludf.DUMMYFUNCTION("IMPORTRANGE(""https://docs.google.com/spreadsheets/d/1MeEWN-I1oV_STSDYn1IFDPWt_1FKiwhDph83XaGc0o0/edit?usp=sharing"",""งบพรบ!DZ66"")"),155122)</f>
        <v>155122</v>
      </c>
      <c r="O303" s="93">
        <f t="shared" ca="1" si="136"/>
        <v>63.574590163934424</v>
      </c>
      <c r="P303" s="93">
        <f t="shared" ca="1" si="137"/>
        <v>84.998356164383566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518</v>
      </c>
      <c r="K327" s="445">
        <f ca="1">IF(I327&gt;0,J327*100/I327,0)</f>
        <v>129.5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103957.99</v>
      </c>
      <c r="O328" s="155">
        <f t="shared" ref="O328:O336" ca="1" si="150">IF(L328&gt;0,N328*100/L328,0)</f>
        <v>66.21528025477707</v>
      </c>
      <c r="P328" s="155">
        <f t="shared" ref="P328:P336" ca="1" si="151">IF(M328&gt;0,N328*100/M328,0)</f>
        <v>86.451550935550941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103957.99</v>
      </c>
      <c r="O330" s="93">
        <f t="shared" ca="1" si="150"/>
        <v>66.21528025477707</v>
      </c>
      <c r="P330" s="93">
        <f t="shared" ca="1" si="151"/>
        <v>86.451550935550941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103957.99</v>
      </c>
      <c r="O331" s="497">
        <f t="shared" ca="1" si="150"/>
        <v>66.21528025477707</v>
      </c>
      <c r="P331" s="497">
        <f t="shared" ca="1" si="151"/>
        <v>86.451550935550941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IFERROR(__xludf.DUMMYFUNCTION("IMPORTRANGE(""https://docs.google.com/spreadsheets/d/1MeEWN-I1oV_STSDYn1IFDPWt_1FKiwhDph83XaGc0o0/edit?usp=sharing"",""งบพรบ!ER66"")"),120250)</f>
        <v>120250</v>
      </c>
      <c r="N333" s="93">
        <f ca="1">IFERROR(__xludf.DUMMYFUNCTION("IMPORTRANGE(""https://docs.google.com/spreadsheets/d/1MeEWN-I1oV_STSDYn1IFDPWt_1FKiwhDph83XaGc0o0/edit?usp=sharing"",""งบพรบ!ET66"")"),103957.99)</f>
        <v>103957.99</v>
      </c>
      <c r="O333" s="93">
        <f t="shared" ca="1" si="150"/>
        <v>66.21528025477707</v>
      </c>
      <c r="P333" s="93">
        <f t="shared" ca="1" si="151"/>
        <v>86.451550935550941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IFERROR(__xludf.DUMMYFUNCTION("IMPORTRANGE(""https://docs.google.com/spreadsheets/d/1kVcqe37tkHyjCSG3S0O1AXqVkqjo8mSIZil3BcpIysc/edit?usp=sharing"",""ศูนย์!D66"")"),437)</f>
        <v>437</v>
      </c>
      <c r="K338" s="497">
        <f ca="1">IF(I338&gt;0,J338*100/I338,0)</f>
        <v>109.25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745940</v>
      </c>
      <c r="N345" s="155">
        <f t="shared" ca="1" si="155"/>
        <v>536408.01</v>
      </c>
      <c r="O345" s="155">
        <f t="shared" ref="O345:O353" ca="1" si="156">IF(L345&gt;0,N345*100/L345,0)</f>
        <v>65.088580546522351</v>
      </c>
      <c r="P345" s="155">
        <f t="shared" ref="P345:P353" ca="1" si="157">IF(M345&gt;0,N345*100/M345,0)</f>
        <v>71.910342654905222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745940</v>
      </c>
      <c r="N347" s="93">
        <f t="shared" ca="1" si="158"/>
        <v>536408.01</v>
      </c>
      <c r="O347" s="93">
        <f t="shared" ca="1" si="156"/>
        <v>65.088580546522351</v>
      </c>
      <c r="P347" s="93">
        <f t="shared" ca="1" si="157"/>
        <v>71.910342654905222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533740</v>
      </c>
      <c r="N348" s="497">
        <f t="shared" ca="1" si="159"/>
        <v>324208.01</v>
      </c>
      <c r="O348" s="497">
        <f t="shared" ca="1" si="156"/>
        <v>52.982090796182504</v>
      </c>
      <c r="P348" s="497">
        <f t="shared" ca="1" si="157"/>
        <v>60.74268557724735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IFERROR(__xludf.DUMMYFUNCTION("IMPORTRANGE(""https://docs.google.com/spreadsheets/d/1MeEWN-I1oV_STSDYn1IFDPWt_1FKiwhDph83XaGc0o0/edit?usp=sharing"",""งบพรบ!FB66"")"),533740)</f>
        <v>533740</v>
      </c>
      <c r="N350" s="93">
        <f ca="1">IFERROR(__xludf.DUMMYFUNCTION("IMPORTRANGE(""https://docs.google.com/spreadsheets/d/1MeEWN-I1oV_STSDYn1IFDPWt_1FKiwhDph83XaGc0o0/edit?usp=sharing"",""งบพรบ!FD66"")"),324208.01)</f>
        <v>324208.01</v>
      </c>
      <c r="O350" s="93">
        <f t="shared" ca="1" si="156"/>
        <v>52.982090796182504</v>
      </c>
      <c r="P350" s="93">
        <f t="shared" ca="1" si="157"/>
        <v>60.74268557724735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34</v>
      </c>
      <c r="K355" s="465">
        <f ca="1">IF(I355&gt;0,J355*100/I355,0)</f>
        <v>30.90909090909091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IFERROR(__xludf.DUMMYFUNCTION("IMPORTRANGE(""https://docs.google.com/spreadsheets/d/1XWAQStnk-4SwqDmLtmXYiTMKHgktTP8We1SCoS47DrQ/edit?usp=sharing"",""จัดที่ดิน!W66"")"),105)</f>
        <v>105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IFERROR(__xludf.DUMMYFUNCTION("IMPORTRANGE(""https://docs.google.com/spreadsheets/d/1XWAQStnk-4SwqDmLtmXYiTMKHgktTP8We1SCoS47DrQ/edit?usp=sharing"",""จัดที่ดิน!X66"")"),1257.18)</f>
        <v>1257.18</v>
      </c>
      <c r="K359" s="497">
        <f t="shared" ca="1" si="161"/>
        <v>139.68666666666667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IFERROR(__xludf.DUMMYFUNCTION("IMPORTRANGE(""https://docs.google.com/spreadsheets/d/1XWAQStnk-4SwqDmLtmXYiTMKHgktTP8We1SCoS47DrQ/edit?usp=sharing"",""จัดที่ดิน!Y66"")"),47)</f>
        <v>47</v>
      </c>
      <c r="K360" s="497">
        <f t="shared" ca="1" si="161"/>
        <v>42.727272727272727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IFERROR(__xludf.DUMMYFUNCTION("IMPORTRANGE(""https://docs.google.com/spreadsheets/d/1XWAQStnk-4SwqDmLtmXYiTMKHgktTP8We1SCoS47DrQ/edit?usp=sharing"",""จัดที่ดิน!Z66"")"),610.68)</f>
        <v>610.67999999999995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IFERROR(__xludf.DUMMYFUNCTION("IMPORTRANGE(""https://docs.google.com/spreadsheets/d/1XWAQStnk-4SwqDmLtmXYiTMKHgktTP8We1SCoS47DrQ/edit?usp=sharing"",""จัดที่ดิน!AA66"")"),34)</f>
        <v>34</v>
      </c>
      <c r="K362" s="497">
        <f t="shared" ca="1" si="161"/>
        <v>30.90909090909091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IFERROR(__xludf.DUMMYFUNCTION("IMPORTRANGE(""https://docs.google.com/spreadsheets/d/1XWAQStnk-4SwqDmLtmXYiTMKHgktTP8We1SCoS47DrQ/edit?usp=sharing"",""จัดที่ดิน!AB66"")"),461.11)</f>
        <v>461.11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88</v>
      </c>
      <c r="K364" s="479">
        <f t="shared" ca="1" si="161"/>
        <v>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IFERROR(__xludf.DUMMYFUNCTION("IMPORTRANGE(""https://docs.google.com/spreadsheets/d/1XWAQStnk-4SwqDmLtmXYiTMKHgktTP8We1SCoS47DrQ/edit?usp=sharing"",""จัดที่ดิน!E66"")"),24)</f>
        <v>24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IFERROR(__xludf.DUMMYFUNCTION("IMPORTRANGE(""https://docs.google.com/spreadsheets/d/1XWAQStnk-4SwqDmLtmXYiTMKHgktTP8We1SCoS47DrQ/edit?usp=sharing"",""จัดที่ดิน!F66"")"),276.11)</f>
        <v>276.11</v>
      </c>
      <c r="K369" s="497">
        <f t="shared" ca="1" si="163"/>
        <v>276.11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IFERROR(__xludf.DUMMYFUNCTION("IMPORTRANGE(""https://docs.google.com/spreadsheets/d/1XWAQStnk-4SwqDmLtmXYiTMKHgktTP8We1SCoS47DrQ/edit?usp=sharing"",""จัดที่ดิน!G66"")"),8)</f>
        <v>8</v>
      </c>
      <c r="K370" s="497">
        <f t="shared" ca="1" si="163"/>
        <v>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IFERROR(__xludf.DUMMYFUNCTION("IMPORTRANGE(""https://docs.google.com/spreadsheets/d/1XWAQStnk-4SwqDmLtmXYiTMKHgktTP8We1SCoS47DrQ/edit?usp=sharing"",""จัดที่ดิน!H66"")"),119.99)</f>
        <v>119.99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IFERROR(__xludf.DUMMYFUNCTION("IMPORTRANGE(""https://docs.google.com/spreadsheets/d/1XWAQStnk-4SwqDmLtmXYiTMKHgktTP8We1SCoS47DrQ/edit?usp=sharing"",""จัดที่ดิน!I66"")"),1)</f>
        <v>1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IFERROR(__xludf.DUMMYFUNCTION("IMPORTRANGE(""https://docs.google.com/spreadsheets/d/1XWAQStnk-4SwqDmLtmXYiTMKHgktTP8We1SCoS47DrQ/edit?usp=sharing"",""จัดที่ดิน!J66"")"),38.94)</f>
        <v>38.94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87</v>
      </c>
      <c r="K374" s="491">
        <f t="shared" ca="1" si="163"/>
        <v>58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IFERROR(__xludf.DUMMYFUNCTION("IMPORTRANGE(""https://docs.google.com/spreadsheets/d/1XWAQStnk-4SwqDmLtmXYiTMKHgktTP8We1SCoS47DrQ/edit?usp=sharing"",""จัดที่ดิน!AH66"")"),81)</f>
        <v>81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IFERROR(__xludf.DUMMYFUNCTION("IMPORTRANGE(""https://docs.google.com/spreadsheets/d/1XWAQStnk-4SwqDmLtmXYiTMKHgktTP8We1SCoS47DrQ/edit?usp=sharing"",""จัดที่ดิน!AI66"")"),981.07)</f>
        <v>981.07</v>
      </c>
      <c r="K378" s="497">
        <f t="shared" ca="1" si="164"/>
        <v>122.63375000000001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IFERROR(__xludf.DUMMYFUNCTION("IMPORTRANGE(""https://docs.google.com/spreadsheets/d/1XWAQStnk-4SwqDmLtmXYiTMKHgktTP8We1SCoS47DrQ/edit?usp=sharing"",""จัดที่ดิน!AJ66"")"),102)</f>
        <v>102</v>
      </c>
      <c r="K379" s="497">
        <f t="shared" ca="1" si="164"/>
        <v>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IFERROR(__xludf.DUMMYFUNCTION("IMPORTRANGE(""https://docs.google.com/spreadsheets/d/1XWAQStnk-4SwqDmLtmXYiTMKHgktTP8We1SCoS47DrQ/edit?usp=sharing"",""จัดที่ดิน!AK66"")"),1250.06)</f>
        <v>1250.06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IFERROR(__xludf.DUMMYFUNCTION("IMPORTRANGE(""https://docs.google.com/spreadsheets/d/1XWAQStnk-4SwqDmLtmXYiTMKHgktTP8We1SCoS47DrQ/edit?usp=sharing"",""จัดที่ดิน!AL66"")"),87)</f>
        <v>87</v>
      </c>
      <c r="K381" s="497">
        <f t="shared" ca="1" si="164"/>
        <v>58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IFERROR(__xludf.DUMMYFUNCTION("IMPORTRANGE(""https://docs.google.com/spreadsheets/d/1XWAQStnk-4SwqDmLtmXYiTMKHgktTP8We1SCoS47DrQ/edit?usp=sharing"",""จัดที่ดิน!AM66"")"),983.25)</f>
        <v>983.25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850493</v>
      </c>
      <c r="N414" s="549">
        <f t="shared" si="181"/>
        <v>375577</v>
      </c>
      <c r="O414" s="549">
        <f ca="1">IF(L414&gt;0,N414*100/L414,0)</f>
        <v>44.15991666010185</v>
      </c>
      <c r="P414" s="549">
        <f ca="1">IF(M414&gt;0,N414*100/M414,0)</f>
        <v>44.15991666010185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80960</v>
      </c>
      <c r="N419" s="155">
        <f t="shared" si="184"/>
        <v>54100</v>
      </c>
      <c r="O419" s="155">
        <f t="shared" ref="O419:O424" ca="1" si="185">IF(L419&gt;0,N419*100/L419,0)</f>
        <v>66.823122529644266</v>
      </c>
      <c r="P419" s="155">
        <f t="shared" ref="P419:P424" ca="1" si="186">IF(M419&gt;0,N419*100/M419,0)</f>
        <v>66.823122529644266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80960</v>
      </c>
      <c r="N421" s="93">
        <f t="shared" si="187"/>
        <v>54100</v>
      </c>
      <c r="O421" s="93">
        <f t="shared" ca="1" si="185"/>
        <v>66.823122529644266</v>
      </c>
      <c r="P421" s="93">
        <f t="shared" ca="1" si="186"/>
        <v>66.823122529644266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80960</v>
      </c>
      <c r="N422" s="497">
        <f t="shared" si="188"/>
        <v>54100</v>
      </c>
      <c r="O422" s="497">
        <f t="shared" ca="1" si="185"/>
        <v>66.823122529644266</v>
      </c>
      <c r="P422" s="497">
        <f t="shared" ca="1" si="186"/>
        <v>66.823122529644266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</f>
        <v>80960</v>
      </c>
      <c r="N424" s="93">
        <f>N425+N426+N427+N428</f>
        <v>54100</v>
      </c>
      <c r="O424" s="93">
        <f t="shared" ca="1" si="185"/>
        <v>66.823122529644266</v>
      </c>
      <c r="P424" s="93">
        <f t="shared" ca="1" si="186"/>
        <v>66.823122529644266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3400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145260</v>
      </c>
      <c r="O444" s="195">
        <f t="shared" ref="O444:O449" ca="1" si="198">IF(L444&gt;0,N444*100/L444,0)</f>
        <v>80.664149266992453</v>
      </c>
      <c r="P444" s="195">
        <f t="shared" ref="P444:P449" ca="1" si="199">IF(M444&gt;0,N444*100/M444,0)</f>
        <v>80.664149266992453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145260</v>
      </c>
      <c r="O446" s="93">
        <f t="shared" ca="1" si="198"/>
        <v>80.664149266992453</v>
      </c>
      <c r="P446" s="93">
        <f t="shared" ca="1" si="199"/>
        <v>80.664149266992453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145260</v>
      </c>
      <c r="O447" s="497">
        <f t="shared" ca="1" si="198"/>
        <v>80.664149266992453</v>
      </c>
      <c r="P447" s="497">
        <f t="shared" ca="1" si="199"/>
        <v>80.664149266992453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145260</v>
      </c>
      <c r="O449" s="93">
        <f t="shared" ca="1" si="198"/>
        <v>80.664149266992453</v>
      </c>
      <c r="P449" s="93">
        <f t="shared" ca="1" si="199"/>
        <v>80.664149266992453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100100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3620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34571</v>
      </c>
      <c r="O467" s="195">
        <f t="shared" ref="O467:O472" ca="1" si="207">IF(L467&gt;0,N467*100/L467,0)</f>
        <v>19.201524080358581</v>
      </c>
      <c r="P467" s="195">
        <f t="shared" ref="P467:P472" ca="1" si="208">IF(M467&gt;0,N467*100/M467,0)</f>
        <v>19.201524080358581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34571</v>
      </c>
      <c r="O469" s="93">
        <f t="shared" ca="1" si="207"/>
        <v>19.201524080358581</v>
      </c>
      <c r="P469" s="93">
        <f t="shared" ca="1" si="208"/>
        <v>19.201524080358581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34571</v>
      </c>
      <c r="O470" s="497">
        <f t="shared" ca="1" si="207"/>
        <v>19.201524080358581</v>
      </c>
      <c r="P470" s="497">
        <f t="shared" ca="1" si="208"/>
        <v>19.201524080358581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34571</v>
      </c>
      <c r="O472" s="93">
        <f t="shared" ca="1" si="207"/>
        <v>19.201524080358581</v>
      </c>
      <c r="P472" s="93">
        <f t="shared" ca="1" si="208"/>
        <v>19.201524080358581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7568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236000</v>
      </c>
      <c r="N544" s="155">
        <f t="shared" si="236"/>
        <v>133646</v>
      </c>
      <c r="O544" s="155">
        <f t="shared" ref="O544:O549" ca="1" si="237">IF(L544&gt;0,N544*100/L544,0)</f>
        <v>56.62966101694915</v>
      </c>
      <c r="P544" s="155">
        <f t="shared" ref="P544:P549" ca="1" si="238">IF(M544&gt;0,N544*100/M544,0)</f>
        <v>56.62966101694915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236000</v>
      </c>
      <c r="N546" s="93">
        <f t="shared" si="240"/>
        <v>133646</v>
      </c>
      <c r="O546" s="93">
        <f t="shared" ca="1" si="237"/>
        <v>56.62966101694915</v>
      </c>
      <c r="P546" s="93">
        <f t="shared" ca="1" si="238"/>
        <v>56.62966101694915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236000</v>
      </c>
      <c r="N547" s="497">
        <f t="shared" si="241"/>
        <v>133646</v>
      </c>
      <c r="O547" s="497">
        <f t="shared" ca="1" si="237"/>
        <v>56.62966101694915</v>
      </c>
      <c r="P547" s="497">
        <f t="shared" ca="1" si="238"/>
        <v>56.62966101694915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</f>
        <v>236000</v>
      </c>
      <c r="N549" s="93">
        <f>N550+N551+N552+N553+N554</f>
        <v>133646</v>
      </c>
      <c r="O549" s="93">
        <f t="shared" ca="1" si="237"/>
        <v>56.62966101694915</v>
      </c>
      <c r="P549" s="93">
        <f t="shared" ca="1" si="238"/>
        <v>56.62966101694915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52320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3760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173410</v>
      </c>
      <c r="N629" s="195">
        <f t="shared" si="263"/>
        <v>8000</v>
      </c>
      <c r="O629" s="195">
        <f t="shared" ref="O629:O634" ca="1" si="264">IF(L629&gt;0,N629*100/L629,0)</f>
        <v>4.6133440978028952</v>
      </c>
      <c r="P629" s="195">
        <f t="shared" ref="P629:P634" ca="1" si="265">IF(M629&gt;0,N629*100/M629,0)</f>
        <v>4.6133440978028952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173410</v>
      </c>
      <c r="N631" s="93">
        <f t="shared" si="266"/>
        <v>8000</v>
      </c>
      <c r="O631" s="93">
        <f t="shared" ca="1" si="264"/>
        <v>4.6133440978028952</v>
      </c>
      <c r="P631" s="93">
        <f t="shared" ca="1" si="265"/>
        <v>4.6133440978028952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173410</v>
      </c>
      <c r="N632" s="497">
        <f t="shared" si="267"/>
        <v>8000</v>
      </c>
      <c r="O632" s="497">
        <f t="shared" ca="1" si="264"/>
        <v>4.6133440978028952</v>
      </c>
      <c r="P632" s="497">
        <f t="shared" ca="1" si="265"/>
        <v>4.6133440978028952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</f>
        <v>173410</v>
      </c>
      <c r="N634" s="93">
        <f>N635+N636+N637+N638</f>
        <v>8000</v>
      </c>
      <c r="O634" s="93">
        <f t="shared" ca="1" si="264"/>
        <v>4.6133440978028952</v>
      </c>
      <c r="P634" s="93">
        <f t="shared" ca="1" si="265"/>
        <v>4.6133440978028952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8000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IFERROR(__xludf.DUMMYFUNCTION("IMPORTRANGE(""https://docs.google.com/spreadsheets/d/1XWAQStnk-4SwqDmLtmXYiTMKHgktTP8We1SCoS47DrQ/edit?usp=sharing"",""จัดที่ดิน!AS66"")"),21)</f>
        <v>21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IFERROR(__xludf.DUMMYFUNCTION("IMPORTRANGE(""https://docs.google.com/spreadsheets/d/1XWAQStnk-4SwqDmLtmXYiTMKHgktTP8We1SCoS47DrQ/edit?usp=sharing"",""จัดที่ดิน!AT66"")"),12.62)</f>
        <v>12.62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IFERROR(__xludf.DUMMYFUNCTION("IMPORTRANGE(""https://docs.google.com/spreadsheets/d/19vJNZY_5yjcGF2XGBMNZRCAIB0Kwfpjp8YEOfu-bneM/edit?usp=sharing"",""งานกองทุน!D66"")"),2631297.69)</f>
        <v>2631297.69</v>
      </c>
      <c r="J821" s="270">
        <f ca="1">IFERROR(__xludf.DUMMYFUNCTION("IMPORTRANGE(""https://docs.google.com/spreadsheets/d/19vJNZY_5yjcGF2XGBMNZRCAIB0Kwfpjp8YEOfu-bneM/edit?usp=sharing"",""งานกองทุน!F66"")"),994851.65)</f>
        <v>994851.65</v>
      </c>
      <c r="K821" s="497">
        <f t="shared" ref="K821:K828" ca="1" si="335">IF(I821&gt;0,J821*100/I821,0)</f>
        <v>37.808403578996035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IFERROR(__xludf.DUMMYFUNCTION("IMPORTRANGE(""https://docs.google.com/spreadsheets/d/19vJNZY_5yjcGF2XGBMNZRCAIB0Kwfpjp8YEOfu-bneM/edit?usp=sharing"",""งานกองทุน!C66"")"),159)</f>
        <v>159</v>
      </c>
      <c r="J822" s="270">
        <f ca="1">IFERROR(__xludf.DUMMYFUNCTION("IMPORTRANGE(""https://docs.google.com/spreadsheets/d/19vJNZY_5yjcGF2XGBMNZRCAIB0Kwfpjp8YEOfu-bneM/edit?usp=sharing"",""งานกองทุน!E66"")"),59)</f>
        <v>59</v>
      </c>
      <c r="K822" s="497">
        <f t="shared" ca="1" si="335"/>
        <v>37.106918238993714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IFERROR(__xludf.DUMMYFUNCTION("IMPORTRANGE(""https://docs.google.com/spreadsheets/d/19vJNZY_5yjcGF2XGBMNZRCAIB0Kwfpjp8YEOfu-bneM/edit?usp=sharing"",""งานกองทุน!K66"")"),128498.09)</f>
        <v>128498.09</v>
      </c>
      <c r="K823" s="497">
        <f t="shared" ca="1" si="335"/>
        <v>10.909211016388603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IFERROR(__xludf.DUMMYFUNCTION("IMPORTRANGE(""https://docs.google.com/spreadsheets/d/19vJNZY_5yjcGF2XGBMNZRCAIB0Kwfpjp8YEOfu-bneM/edit?usp=sharing"",""งานกองทุน!J66"")"),10)</f>
        <v>10</v>
      </c>
      <c r="K824" s="497">
        <f t="shared" ca="1" si="335"/>
        <v>27.027027027027028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IFERROR(__xludf.DUMMYFUNCTION("IMPORTRANGE(""https://docs.google.com/spreadsheets/d/19vJNZY_5yjcGF2XGBMNZRCAIB0Kwfpjp8YEOfu-bneM/edit?usp=sharing"",""งานกองทุน!U66"")"),1050000)</f>
        <v>1050000</v>
      </c>
      <c r="K827" s="497">
        <f t="shared" ca="1" si="335"/>
        <v>42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IFERROR(__xludf.DUMMYFUNCTION("IMPORTRANGE(""https://docs.google.com/spreadsheets/d/19vJNZY_5yjcGF2XGBMNZRCAIB0Kwfpjp8YEOfu-bneM/edit?usp=sharing"",""งานกองทุน!T66"")"),22)</f>
        <v>22</v>
      </c>
      <c r="K828" s="502">
        <f t="shared" ca="1" si="335"/>
        <v>30.555555555555557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6EF9-5B18-442F-87EA-61DF064EDE7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3770217.08</v>
      </c>
      <c r="N8" s="22">
        <f t="shared" ca="1" si="0"/>
        <v>2601997.9700000002</v>
      </c>
      <c r="O8" s="22">
        <f t="shared" ref="O8:O16" ca="1" si="1">IF(L8&gt;0,N8*100/L8,0)</f>
        <v>62.42006698767527</v>
      </c>
      <c r="P8" s="22">
        <f t="shared" ref="P8:P16" ca="1" si="2">IF(M8&gt;0,N8*100/M8,0)</f>
        <v>69.014539873656304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3770217.08</v>
      </c>
      <c r="N10" s="30">
        <f t="shared" ca="1" si="3"/>
        <v>2601997.9700000002</v>
      </c>
      <c r="O10" s="30">
        <f t="shared" ca="1" si="1"/>
        <v>62.42006698767527</v>
      </c>
      <c r="P10" s="30">
        <f t="shared" ca="1" si="2"/>
        <v>69.014539873656304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3701217.08</v>
      </c>
      <c r="N11" s="497">
        <f t="shared" ca="1" si="4"/>
        <v>2532997.9700000002</v>
      </c>
      <c r="O11" s="497">
        <f t="shared" ca="1" si="1"/>
        <v>61.787551396160737</v>
      </c>
      <c r="P11" s="497">
        <f t="shared" ca="1" si="2"/>
        <v>68.436892926042589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3701217.08</v>
      </c>
      <c r="N13" s="93">
        <f t="shared" ca="1" si="5"/>
        <v>2532997.9700000002</v>
      </c>
      <c r="O13" s="93">
        <f t="shared" ca="1" si="1"/>
        <v>61.787551396160737</v>
      </c>
      <c r="P13" s="93">
        <f t="shared" ca="1" si="2"/>
        <v>68.436892926042589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2307919.08</v>
      </c>
      <c r="N18" s="22">
        <f t="shared" ca="1" si="8"/>
        <v>2002367.7000000002</v>
      </c>
      <c r="O18" s="22">
        <f t="shared" ref="O18:O26" ca="1" si="9">IF(L18&gt;0,N18*100/L18,0)</f>
        <v>74.041928434348861</v>
      </c>
      <c r="P18" s="22">
        <f t="shared" ref="P18:P26" ca="1" si="10">IF(M18&gt;0,N18*100/M18,0)</f>
        <v>86.760741195484215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2307919.08</v>
      </c>
      <c r="N20" s="30">
        <f t="shared" ca="1" si="11"/>
        <v>2002367.7000000002</v>
      </c>
      <c r="O20" s="30">
        <f t="shared" ca="1" si="9"/>
        <v>74.041928434348861</v>
      </c>
      <c r="P20" s="30">
        <f t="shared" ca="1" si="10"/>
        <v>86.760741195484215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2238919.08</v>
      </c>
      <c r="N21" s="497">
        <f t="shared" ca="1" si="12"/>
        <v>1933367.7000000002</v>
      </c>
      <c r="O21" s="497">
        <f t="shared" ca="1" si="9"/>
        <v>73.36228688950699</v>
      </c>
      <c r="P21" s="497">
        <f t="shared" ca="1" si="10"/>
        <v>86.352727852942337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2238919.08</v>
      </c>
      <c r="N23" s="93">
        <f t="shared" ca="1" si="13"/>
        <v>1933367.7000000002</v>
      </c>
      <c r="O23" s="93">
        <f t="shared" ca="1" si="9"/>
        <v>73.36228688950699</v>
      </c>
      <c r="P23" s="93">
        <f t="shared" ca="1" si="10"/>
        <v>86.352727852942337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599630.27</v>
      </c>
      <c r="O28" s="22">
        <f t="shared" ref="O28:O37" ca="1" si="17">IF(L28&gt;0,N28*100/L28,0)</f>
        <v>40.953931884400454</v>
      </c>
      <c r="P28" s="22">
        <f t="shared" ref="P28:P37" ca="1" si="18">IF(M28&gt;0,N28*100/M28,0)</f>
        <v>41.006024079907107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599630.27</v>
      </c>
      <c r="O30" s="30">
        <f t="shared" ca="1" si="17"/>
        <v>40.953931884400454</v>
      </c>
      <c r="P30" s="30">
        <f t="shared" ca="1" si="18"/>
        <v>41.006024079907107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1462298</v>
      </c>
      <c r="N31" s="497">
        <f t="shared" si="20"/>
        <v>599630.27</v>
      </c>
      <c r="O31" s="497">
        <f t="shared" ca="1" si="17"/>
        <v>40.953931884400454</v>
      </c>
      <c r="P31" s="497">
        <f t="shared" ca="1" si="18"/>
        <v>41.006024079907107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1462298</v>
      </c>
      <c r="N33" s="93">
        <f t="shared" si="21"/>
        <v>599630.27</v>
      </c>
      <c r="O33" s="93">
        <f t="shared" ca="1" si="17"/>
        <v>40.953931884400454</v>
      </c>
      <c r="P33" s="93">
        <f t="shared" ca="1" si="18"/>
        <v>41.006024079907107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2307919.08</v>
      </c>
      <c r="N37" s="59">
        <f t="shared" ca="1" si="24"/>
        <v>2002367.7000000002</v>
      </c>
      <c r="O37" s="59">
        <f t="shared" ca="1" si="17"/>
        <v>74.041928434348861</v>
      </c>
      <c r="P37" s="59">
        <f t="shared" ca="1" si="18"/>
        <v>86.760741195484215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358964.08</v>
      </c>
      <c r="N41" s="85">
        <f t="shared" ca="1" si="25"/>
        <v>348206</v>
      </c>
      <c r="O41" s="85">
        <f t="shared" ref="O41:O49" ca="1" si="26">IF(L41&gt;0,N41*100/L41,0)</f>
        <v>99.772492836676221</v>
      </c>
      <c r="P41" s="85">
        <f t="shared" ref="P41:P49" ca="1" si="27">IF(M41&gt;0,N41*100/M41,0)</f>
        <v>97.003020469346126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358964.08</v>
      </c>
      <c r="N43" s="92">
        <f t="shared" ca="1" si="28"/>
        <v>348206</v>
      </c>
      <c r="O43" s="92">
        <f t="shared" ca="1" si="26"/>
        <v>99.772492836676221</v>
      </c>
      <c r="P43" s="92">
        <f t="shared" ca="1" si="27"/>
        <v>97.003020469346126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358964.08</v>
      </c>
      <c r="N44" s="497">
        <f t="shared" ca="1" si="29"/>
        <v>348206</v>
      </c>
      <c r="O44" s="497">
        <f t="shared" ca="1" si="26"/>
        <v>99.772492836676221</v>
      </c>
      <c r="P44" s="497">
        <f t="shared" ca="1" si="27"/>
        <v>97.003020469346126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IFERROR(__xludf.DUMMYFUNCTION("IMPORTRANGE(""https://docs.google.com/spreadsheets/d/1MeEWN-I1oV_STSDYn1IFDPWt_1FKiwhDph83XaGc0o0/edit?usp=sharing"",""งบพรบ!R67"")"),358964.08)</f>
        <v>358964.08</v>
      </c>
      <c r="N46" s="93">
        <f ca="1">IFERROR(__xludf.DUMMYFUNCTION("IMPORTRANGE(""https://docs.google.com/spreadsheets/d/1MeEWN-I1oV_STSDYn1IFDPWt_1FKiwhDph83XaGc0o0/edit?usp=sharing"",""งบพรบ!T67"")"),348206)</f>
        <v>348206</v>
      </c>
      <c r="O46" s="93">
        <f t="shared" ca="1" si="26"/>
        <v>99.772492836676221</v>
      </c>
      <c r="P46" s="93">
        <f t="shared" ca="1" si="27"/>
        <v>97.003020469346126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566095</v>
      </c>
      <c r="N53" s="116">
        <f t="shared" ca="1" si="31"/>
        <v>547188.86</v>
      </c>
      <c r="O53" s="116">
        <f t="shared" ref="O53:O61" ca="1" si="32">IF(L53&gt;0,N53*100/L53,0)</f>
        <v>82.744421593830339</v>
      </c>
      <c r="P53" s="116">
        <f t="shared" ref="P53:P61" ca="1" si="33">IF(M53&gt;0,N53*100/M53,0)</f>
        <v>96.66025313772424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566095</v>
      </c>
      <c r="N55" s="123">
        <f t="shared" ca="1" si="34"/>
        <v>547188.86</v>
      </c>
      <c r="O55" s="123">
        <f t="shared" ca="1" si="32"/>
        <v>82.744421593830339</v>
      </c>
      <c r="P55" s="123">
        <f t="shared" ca="1" si="33"/>
        <v>96.66025313772424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512095</v>
      </c>
      <c r="N56" s="497">
        <f t="shared" ca="1" si="35"/>
        <v>493188.86</v>
      </c>
      <c r="O56" s="497">
        <f t="shared" ca="1" si="32"/>
        <v>81.210087271529716</v>
      </c>
      <c r="P56" s="497">
        <f t="shared" ca="1" si="33"/>
        <v>96.308079555551217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IFERROR(__xludf.DUMMYFUNCTION("IMPORTRANGE(""https://docs.google.com/spreadsheets/d/1MeEWN-I1oV_STSDYn1IFDPWt_1FKiwhDph83XaGc0o0/edit?usp=sharing"",""งบพรบ!AB67"")"),512095)</f>
        <v>512095</v>
      </c>
      <c r="N58" s="93">
        <f ca="1">IFERROR(__xludf.DUMMYFUNCTION("IMPORTRANGE(""https://docs.google.com/spreadsheets/d/1MeEWN-I1oV_STSDYn1IFDPWt_1FKiwhDph83XaGc0o0/edit?usp=sharing"",""งบพรบ!AD67"")"),493188.86)</f>
        <v>493188.86</v>
      </c>
      <c r="O58" s="93">
        <f t="shared" ca="1" si="32"/>
        <v>81.210087271529716</v>
      </c>
      <c r="P58" s="93">
        <f t="shared" ca="1" si="33"/>
        <v>96.308079555551217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118310</v>
      </c>
      <c r="N88" s="155">
        <f t="shared" ca="1" si="49"/>
        <v>83180.899999999994</v>
      </c>
      <c r="O88" s="155">
        <f t="shared" ref="O88:O96" ca="1" si="50">IF(L88&gt;0,N88*100/L88,0)</f>
        <v>64.8028201932066</v>
      </c>
      <c r="P88" s="155">
        <f t="shared" ref="P88:P96" ca="1" si="51">IF(M88&gt;0,N88*100/M88,0)</f>
        <v>70.307581776688352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118310</v>
      </c>
      <c r="N90" s="93">
        <f t="shared" ca="1" si="52"/>
        <v>83180.899999999994</v>
      </c>
      <c r="O90" s="93">
        <f t="shared" ca="1" si="50"/>
        <v>64.8028201932066</v>
      </c>
      <c r="P90" s="93">
        <f t="shared" ca="1" si="51"/>
        <v>70.307581776688352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118310</v>
      </c>
      <c r="N91" s="497">
        <f t="shared" ca="1" si="53"/>
        <v>83180.899999999994</v>
      </c>
      <c r="O91" s="497">
        <f t="shared" ca="1" si="50"/>
        <v>64.8028201932066</v>
      </c>
      <c r="P91" s="497">
        <f t="shared" ca="1" si="51"/>
        <v>70.307581776688352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IFERROR(__xludf.DUMMYFUNCTION("IMPORTRANGE(""https://docs.google.com/spreadsheets/d/1MeEWN-I1oV_STSDYn1IFDPWt_1FKiwhDph83XaGc0o0/edit?usp=sharing"",""งบพรบ!AV67"")"),118310)</f>
        <v>118310</v>
      </c>
      <c r="N93" s="93">
        <f ca="1">IFERROR(__xludf.DUMMYFUNCTION("IMPORTRANGE(""https://docs.google.com/spreadsheets/d/1MeEWN-I1oV_STSDYn1IFDPWt_1FKiwhDph83XaGc0o0/edit?usp=sharing"",""งบพรบ!AX67"")"),83180.9)</f>
        <v>83180.899999999994</v>
      </c>
      <c r="O93" s="93">
        <f t="shared" ca="1" si="50"/>
        <v>64.8028201932066</v>
      </c>
      <c r="P93" s="93">
        <f t="shared" ca="1" si="51"/>
        <v>70.307581776688352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</v>
      </c>
      <c r="K148" s="145">
        <f ca="1">IF(I148&gt;0,J148*100/I148,0)</f>
        <v>6.666666666666667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1</v>
      </c>
      <c r="K159" s="497">
        <f ca="1">IF(I159&gt;0,J159*100/I159,0)</f>
        <v>6.666666666666667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31040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31040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31040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IFERROR(__xludf.DUMMYFUNCTION("IMPORTRANGE(""https://docs.google.com/spreadsheets/d/1MeEWN-I1oV_STSDYn1IFDPWt_1FKiwhDph83XaGc0o0/edit?usp=sharing"",""งบพรบ!CJ67"")"),31040)</f>
        <v>31040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39595</v>
      </c>
      <c r="O181" s="155">
        <f t="shared" ref="O181:O189" ca="1" si="93">IF(L181&gt;0,N181*100/L181,0)</f>
        <v>74.70754716981132</v>
      </c>
      <c r="P181" s="155">
        <f t="shared" ref="P181:P189" ca="1" si="94">IF(M181&gt;0,N181*100/M181,0)</f>
        <v>85.150537634408607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39595</v>
      </c>
      <c r="O183" s="93">
        <f t="shared" ca="1" si="93"/>
        <v>74.70754716981132</v>
      </c>
      <c r="P183" s="93">
        <f t="shared" ca="1" si="94"/>
        <v>85.150537634408607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46500</v>
      </c>
      <c r="N184" s="497">
        <f t="shared" ca="1" si="96"/>
        <v>39595</v>
      </c>
      <c r="O184" s="497">
        <f t="shared" ca="1" si="93"/>
        <v>74.70754716981132</v>
      </c>
      <c r="P184" s="497">
        <f t="shared" ca="1" si="94"/>
        <v>85.150537634408607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IFERROR(__xludf.DUMMYFUNCTION("IMPORTRANGE(""https://docs.google.com/spreadsheets/d/1MeEWN-I1oV_STSDYn1IFDPWt_1FKiwhDph83XaGc0o0/edit?usp=sharing"",""งบพรบ!CT67"")"),46500)</f>
        <v>46500</v>
      </c>
      <c r="N186" s="93">
        <f ca="1">IFERROR(__xludf.DUMMYFUNCTION("IMPORTRANGE(""https://docs.google.com/spreadsheets/d/1MeEWN-I1oV_STSDYn1IFDPWt_1FKiwhDph83XaGc0o0/edit?usp=sharing"",""งบพรบ!CV67"")"),39595)</f>
        <v>39595</v>
      </c>
      <c r="O186" s="93">
        <f t="shared" ca="1" si="93"/>
        <v>74.70754716981132</v>
      </c>
      <c r="P186" s="93">
        <f t="shared" ca="1" si="94"/>
        <v>85.150537634408607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190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1180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12395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12869</v>
      </c>
      <c r="O261" s="155">
        <f t="shared" ref="O261:O269" ca="1" si="117">IF(L261&gt;0,N261*100/L261,0)</f>
        <v>47.840148698884761</v>
      </c>
      <c r="P261" s="155">
        <f t="shared" ref="P261:P269" ca="1" si="118">IF(M261&gt;0,N261*100/M261,0)</f>
        <v>53.845188284518827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12869</v>
      </c>
      <c r="O263" s="93">
        <f t="shared" ca="1" si="117"/>
        <v>47.840148698884761</v>
      </c>
      <c r="P263" s="93">
        <f t="shared" ca="1" si="118"/>
        <v>53.845188284518827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12869</v>
      </c>
      <c r="O264" s="497">
        <f t="shared" ca="1" si="117"/>
        <v>47.840148698884761</v>
      </c>
      <c r="P264" s="497">
        <f t="shared" ca="1" si="118"/>
        <v>53.845188284518827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IFERROR(__xludf.DUMMYFUNCTION("IMPORTRANGE(""https://docs.google.com/spreadsheets/d/1MeEWN-I1oV_STSDYn1IFDPWt_1FKiwhDph83XaGc0o0/edit?usp=sharing"",""งบพรบ!DD67"")"),23900)</f>
        <v>23900</v>
      </c>
      <c r="N266" s="93">
        <f ca="1">IFERROR(__xludf.DUMMYFUNCTION("IMPORTRANGE(""https://docs.google.com/spreadsheets/d/1MeEWN-I1oV_STSDYn1IFDPWt_1FKiwhDph83XaGc0o0/edit?usp=sharing"",""งบพรบ!DF67"")"),12869)</f>
        <v>12869</v>
      </c>
      <c r="O266" s="93">
        <f t="shared" ca="1" si="117"/>
        <v>47.840148698884761</v>
      </c>
      <c r="P266" s="93">
        <f t="shared" ca="1" si="118"/>
        <v>53.845188284518827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153510</v>
      </c>
      <c r="N277" s="155">
        <f t="shared" ca="1" si="125"/>
        <v>149863.97</v>
      </c>
      <c r="O277" s="155">
        <f t="shared" ref="O277:O285" ca="1" si="126">IF(L277&gt;0,N277*100/L277,0)</f>
        <v>78.458703732788862</v>
      </c>
      <c r="P277" s="155">
        <f t="shared" ref="P277:P285" ca="1" si="127">IF(M277&gt;0,N277*100/M277,0)</f>
        <v>97.624890886587195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153510</v>
      </c>
      <c r="N279" s="93">
        <f t="shared" ca="1" si="128"/>
        <v>149863.97</v>
      </c>
      <c r="O279" s="93">
        <f t="shared" ca="1" si="126"/>
        <v>78.458703732788862</v>
      </c>
      <c r="P279" s="93">
        <f t="shared" ca="1" si="127"/>
        <v>97.624890886587195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153510</v>
      </c>
      <c r="N280" s="497">
        <f t="shared" ca="1" si="129"/>
        <v>149863.97</v>
      </c>
      <c r="O280" s="497">
        <f t="shared" ca="1" si="126"/>
        <v>78.458703732788862</v>
      </c>
      <c r="P280" s="497">
        <f t="shared" ca="1" si="127"/>
        <v>97.624890886587195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IFERROR(__xludf.DUMMYFUNCTION("IMPORTRANGE(""https://docs.google.com/spreadsheets/d/1MeEWN-I1oV_STSDYn1IFDPWt_1FKiwhDph83XaGc0o0/edit?usp=sharing"",""งบพรบ!DN67"")"),153510)</f>
        <v>153510</v>
      </c>
      <c r="N282" s="93">
        <f ca="1">IFERROR(__xludf.DUMMYFUNCTION("IMPORTRANGE(""https://docs.google.com/spreadsheets/d/1MeEWN-I1oV_STSDYn1IFDPWt_1FKiwhDph83XaGc0o0/edit?usp=sharing"",""งบพรบ!DP67"")"),149863.97)</f>
        <v>149863.97</v>
      </c>
      <c r="O282" s="93">
        <f t="shared" ca="1" si="126"/>
        <v>78.458703732788862</v>
      </c>
      <c r="P282" s="93">
        <f t="shared" ca="1" si="127"/>
        <v>97.624890886587195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126126.6</v>
      </c>
      <c r="O298" s="155">
        <f t="shared" ref="O298:O306" ca="1" si="136">IF(L298&gt;0,N298*100/L298,0)</f>
        <v>60.989651837524178</v>
      </c>
      <c r="P298" s="155">
        <f t="shared" ref="P298:P306" ca="1" si="137">IF(M298&gt;0,N298*100/M298,0)</f>
        <v>81.741153596889177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126126.6</v>
      </c>
      <c r="O300" s="93">
        <f t="shared" ca="1" si="136"/>
        <v>60.989651837524178</v>
      </c>
      <c r="P300" s="93">
        <f t="shared" ca="1" si="137"/>
        <v>81.741153596889177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126126.6</v>
      </c>
      <c r="O301" s="497">
        <f t="shared" ca="1" si="136"/>
        <v>60.989651837524178</v>
      </c>
      <c r="P301" s="497">
        <f t="shared" ca="1" si="137"/>
        <v>81.741153596889177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IFERROR(__xludf.DUMMYFUNCTION("IMPORTRANGE(""https://docs.google.com/spreadsheets/d/1MeEWN-I1oV_STSDYn1IFDPWt_1FKiwhDph83XaGc0o0/edit?usp=sharing"",""งบพรบ!DX67"")"),154300)</f>
        <v>154300</v>
      </c>
      <c r="N303" s="93">
        <f ca="1">IFERROR(__xludf.DUMMYFUNCTION("IMPORTRANGE(""https://docs.google.com/spreadsheets/d/1MeEWN-I1oV_STSDYn1IFDPWt_1FKiwhDph83XaGc0o0/edit?usp=sharing"",""งบพรบ!DZ67"")"),126126.6)</f>
        <v>126126.6</v>
      </c>
      <c r="O303" s="93">
        <f t="shared" ca="1" si="136"/>
        <v>60.989651837524178</v>
      </c>
      <c r="P303" s="93">
        <f t="shared" ca="1" si="137"/>
        <v>81.741153596889177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2814</v>
      </c>
      <c r="K327" s="445">
        <f ca="1">IF(I327&gt;0,J327*100/I327,0)</f>
        <v>175.875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517900</v>
      </c>
      <c r="N328" s="155">
        <f t="shared" ca="1" si="149"/>
        <v>400921.09</v>
      </c>
      <c r="O328" s="155">
        <f t="shared" ref="O328:O336" ca="1" si="150">IF(L328&gt;0,N328*100/L328,0)</f>
        <v>58.341252910360886</v>
      </c>
      <c r="P328" s="155">
        <f t="shared" ref="P328:P336" ca="1" si="151">IF(M328&gt;0,N328*100/M328,0)</f>
        <v>77.41283838578876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517900</v>
      </c>
      <c r="N330" s="93">
        <f t="shared" ca="1" si="152"/>
        <v>400921.09</v>
      </c>
      <c r="O330" s="93">
        <f t="shared" ca="1" si="150"/>
        <v>58.341252910360886</v>
      </c>
      <c r="P330" s="93">
        <f t="shared" ca="1" si="151"/>
        <v>77.41283838578876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517900</v>
      </c>
      <c r="N331" s="497">
        <f t="shared" ca="1" si="153"/>
        <v>400921.09</v>
      </c>
      <c r="O331" s="497">
        <f t="shared" ca="1" si="150"/>
        <v>58.341252910360886</v>
      </c>
      <c r="P331" s="497">
        <f t="shared" ca="1" si="151"/>
        <v>77.41283838578876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IFERROR(__xludf.DUMMYFUNCTION("IMPORTRANGE(""https://docs.google.com/spreadsheets/d/1MeEWN-I1oV_STSDYn1IFDPWt_1FKiwhDph83XaGc0o0/edit?usp=sharing"",""งบพรบ!ER67"")"),517900)</f>
        <v>517900</v>
      </c>
      <c r="N333" s="93">
        <f ca="1">IFERROR(__xludf.DUMMYFUNCTION("IMPORTRANGE(""https://docs.google.com/spreadsheets/d/1MeEWN-I1oV_STSDYn1IFDPWt_1FKiwhDph83XaGc0o0/edit?usp=sharing"",""งบพรบ!ET67"")"),400921.09)</f>
        <v>400921.09</v>
      </c>
      <c r="O333" s="93">
        <f t="shared" ca="1" si="150"/>
        <v>58.341252910360886</v>
      </c>
      <c r="P333" s="93">
        <f t="shared" ca="1" si="151"/>
        <v>77.41283838578876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IFERROR(__xludf.DUMMYFUNCTION("IMPORTRANGE(""https://docs.google.com/spreadsheets/d/1kVcqe37tkHyjCSG3S0O1AXqVkqjo8mSIZil3BcpIysc/edit?usp=sharing"",""ศูนย์!D67"")"),2709)</f>
        <v>2709</v>
      </c>
      <c r="K338" s="497">
        <f ca="1">IF(I338&gt;0,J338*100/I338,0)</f>
        <v>169.3125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IFERROR(__xludf.DUMMYFUNCTION("IMPORTRANGE(""https://docs.google.com/spreadsheets/d/1kVcqe37tkHyjCSG3S0O1AXqVkqjo8mSIZil3BcpIysc/edit?usp=sharing"",""ศูนย์!E67"")"),3)</f>
        <v>3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IFERROR(__xludf.DUMMYFUNCTION("IMPORTRANGE(""https://docs.google.com/spreadsheets/d/1kVcqe37tkHyjCSG3S0O1AXqVkqjo8mSIZil3BcpIysc/edit?usp=sharing"",""ศูนย์!F67"")"),101)</f>
        <v>101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IFERROR(__xludf.DUMMYFUNCTION("IMPORTRANGE(""https://docs.google.com/spreadsheets/d/1kVcqe37tkHyjCSG3S0O1AXqVkqjo8mSIZil3BcpIysc/edit?usp=sharing"",""ศูนย์!G67"")"),4)</f>
        <v>4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329900</v>
      </c>
      <c r="N345" s="155">
        <f t="shared" ca="1" si="155"/>
        <v>263416.28000000003</v>
      </c>
      <c r="O345" s="155">
        <f t="shared" ref="O345:O353" ca="1" si="156">IF(L345&gt;0,N345*100/L345,0)</f>
        <v>70.763271994627274</v>
      </c>
      <c r="P345" s="155">
        <f t="shared" ref="P345:P353" ca="1" si="157">IF(M345&gt;0,N345*100/M345,0)</f>
        <v>79.847311306456518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329900</v>
      </c>
      <c r="N347" s="93">
        <f t="shared" ca="1" si="158"/>
        <v>263416.28000000003</v>
      </c>
      <c r="O347" s="93">
        <f t="shared" ca="1" si="156"/>
        <v>70.763271994627274</v>
      </c>
      <c r="P347" s="93">
        <f t="shared" ca="1" si="157"/>
        <v>79.847311306456518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314900</v>
      </c>
      <c r="N348" s="497">
        <f t="shared" ca="1" si="159"/>
        <v>248416.28</v>
      </c>
      <c r="O348" s="497">
        <f t="shared" ca="1" si="156"/>
        <v>69.535697690692785</v>
      </c>
      <c r="P348" s="497">
        <f t="shared" ca="1" si="157"/>
        <v>78.887354715782791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IFERROR(__xludf.DUMMYFUNCTION("IMPORTRANGE(""https://docs.google.com/spreadsheets/d/1MeEWN-I1oV_STSDYn1IFDPWt_1FKiwhDph83XaGc0o0/edit?usp=sharing"",""งบพรบ!FB67"")"),314900)</f>
        <v>314900</v>
      </c>
      <c r="N350" s="93">
        <f ca="1">IFERROR(__xludf.DUMMYFUNCTION("IMPORTRANGE(""https://docs.google.com/spreadsheets/d/1MeEWN-I1oV_STSDYn1IFDPWt_1FKiwhDph83XaGc0o0/edit?usp=sharing"",""งบพรบ!FD67"")"),248416.28)</f>
        <v>248416.28</v>
      </c>
      <c r="O350" s="93">
        <f t="shared" ca="1" si="156"/>
        <v>69.535697690692785</v>
      </c>
      <c r="P350" s="93">
        <f t="shared" ca="1" si="157"/>
        <v>78.887354715782791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IFERROR(__xludf.DUMMYFUNCTION("IMPORTRANGE(""https://docs.google.com/spreadsheets/d/1QqKyyYR6Q21VydFLVH3TRQUabQu_ym0Zz7PgGX0-kHA/edit?usp=sharing"",""แผน!EP67"")"),190)</f>
        <v>190</v>
      </c>
      <c r="J355" s="464">
        <f ca="1">J362</f>
        <v>125</v>
      </c>
      <c r="K355" s="465">
        <f ca="1">IF(I355&gt;0,J355*100/I355,0)</f>
        <v>65.78947368421052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IFERROR(__xludf.DUMMYFUNCTION("IMPORTRANGE(""https://docs.google.com/spreadsheets/d/1XWAQStnk-4SwqDmLtmXYiTMKHgktTP8We1SCoS47DrQ/edit?usp=sharing"",""จัดที่ดิน!W67"")"),194)</f>
        <v>194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IFERROR(__xludf.DUMMYFUNCTION("IMPORTRANGE(""https://docs.google.com/spreadsheets/d/1QqKyyYR6Q21VydFLVH3TRQUabQu_ym0Zz7PgGX0-kHA/edit?usp=sharing"",""แผน!EO67"")"),2100)</f>
        <v>2100</v>
      </c>
      <c r="J359" s="270">
        <f ca="1">IFERROR(__xludf.DUMMYFUNCTION("IMPORTRANGE(""https://docs.google.com/spreadsheets/d/1XWAQStnk-4SwqDmLtmXYiTMKHgktTP8We1SCoS47DrQ/edit?usp=sharing"",""จัดที่ดิน!X67"")"),1552.07)</f>
        <v>1552.07</v>
      </c>
      <c r="K359" s="497">
        <f t="shared" ca="1" si="161"/>
        <v>73.908095238095243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IFERROR(__xludf.DUMMYFUNCTION("IMPORTRANGE(""https://docs.google.com/spreadsheets/d/1QqKyyYR6Q21VydFLVH3TRQUabQu_ym0Zz7PgGX0-kHA/edit?usp=sharing"",""แผน!EP67"")"),190)</f>
        <v>190</v>
      </c>
      <c r="J360" s="270">
        <f ca="1">IFERROR(__xludf.DUMMYFUNCTION("IMPORTRANGE(""https://docs.google.com/spreadsheets/d/1XWAQStnk-4SwqDmLtmXYiTMKHgktTP8We1SCoS47DrQ/edit?usp=sharing"",""จัดที่ดิน!Y67"")"),242)</f>
        <v>242</v>
      </c>
      <c r="K360" s="497">
        <f t="shared" ca="1" si="161"/>
        <v>127.36842105263158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IFERROR(__xludf.DUMMYFUNCTION("IMPORTRANGE(""https://docs.google.com/spreadsheets/d/1XWAQStnk-4SwqDmLtmXYiTMKHgktTP8We1SCoS47DrQ/edit?usp=sharing"",""จัดที่ดิน!Z67"")"),2095.77)</f>
        <v>2095.77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IFERROR(__xludf.DUMMYFUNCTION("IMPORTRANGE(""https://docs.google.com/spreadsheets/d/1QqKyyYR6Q21VydFLVH3TRQUabQu_ym0Zz7PgGX0-kHA/edit?usp=sharing"",""แผน!EP67"")"),190)</f>
        <v>190</v>
      </c>
      <c r="J362" s="270">
        <f ca="1">IFERROR(__xludf.DUMMYFUNCTION("IMPORTRANGE(""https://docs.google.com/spreadsheets/d/1XWAQStnk-4SwqDmLtmXYiTMKHgktTP8We1SCoS47DrQ/edit?usp=sharing"",""จัดที่ดิน!AA67"")"),125)</f>
        <v>125</v>
      </c>
      <c r="K362" s="497">
        <f t="shared" ca="1" si="161"/>
        <v>65.78947368421052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IFERROR(__xludf.DUMMYFUNCTION("IMPORTRANGE(""https://docs.google.com/spreadsheets/d/1XWAQStnk-4SwqDmLtmXYiTMKHgktTP8We1SCoS47DrQ/edit?usp=sharing"",""จัดที่ดิน!AB67"")"),828.47)</f>
        <v>828.47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214</v>
      </c>
      <c r="K364" s="479">
        <f t="shared" ca="1" si="161"/>
        <v>62.941176470588232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41</v>
      </c>
      <c r="K365" s="491">
        <f t="shared" ca="1" si="161"/>
        <v>34.166666666666664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IFERROR(__xludf.DUMMYFUNCTION("IMPORTRANGE(""https://docs.google.com/spreadsheets/d/1XWAQStnk-4SwqDmLtmXYiTMKHgktTP8We1SCoS47DrQ/edit?usp=sharing"",""จัดที่ดิน!E67"")"),111)</f>
        <v>111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IFERROR(__xludf.DUMMYFUNCTION("IMPORTRANGE(""https://docs.google.com/spreadsheets/d/1XWAQStnk-4SwqDmLtmXYiTMKHgktTP8We1SCoS47DrQ/edit?usp=sharing"",""จัดที่ดิน!F67"")"),1129.99)</f>
        <v>1129.99</v>
      </c>
      <c r="K369" s="497">
        <f t="shared" ca="1" si="163"/>
        <v>75.332666666666668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IFERROR(__xludf.DUMMYFUNCTION("IMPORTRANGE(""https://docs.google.com/spreadsheets/d/1XWAQStnk-4SwqDmLtmXYiTMKHgktTP8We1SCoS47DrQ/edit?usp=sharing"",""จัดที่ดิน!G67"")"),157)</f>
        <v>157</v>
      </c>
      <c r="K370" s="497">
        <f t="shared" ca="1" si="163"/>
        <v>130.83333333333334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IFERROR(__xludf.DUMMYFUNCTION("IMPORTRANGE(""https://docs.google.com/spreadsheets/d/1XWAQStnk-4SwqDmLtmXYiTMKHgktTP8We1SCoS47DrQ/edit?usp=sharing"",""จัดที่ดิน!H67"")"),1653.69)</f>
        <v>1653.69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IFERROR(__xludf.DUMMYFUNCTION("IMPORTRANGE(""https://docs.google.com/spreadsheets/d/1XWAQStnk-4SwqDmLtmXYiTMKHgktTP8We1SCoS47DrQ/edit?usp=sharing"",""จัดที่ดิน!I67"")"),41)</f>
        <v>41</v>
      </c>
      <c r="K372" s="497">
        <f t="shared" ca="1" si="163"/>
        <v>34.166666666666664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IFERROR(__xludf.DUMMYFUNCTION("IMPORTRANGE(""https://docs.google.com/spreadsheets/d/1XWAQStnk-4SwqDmLtmXYiTMKHgktTP8We1SCoS47DrQ/edit?usp=sharing"",""จัดที่ดิน!J67"")"),386.52)</f>
        <v>386.52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IFERROR(__xludf.DUMMYFUNCTION("IMPORTRANGE(""https://docs.google.com/spreadsheets/d/1QqKyyYR6Q21VydFLVH3TRQUabQu_ym0Zz7PgGX0-kHA/edit?usp=sharing"",""แผน!EU67"")"),220)</f>
        <v>220</v>
      </c>
      <c r="J374" s="490">
        <f ca="1">J381</f>
        <v>173</v>
      </c>
      <c r="K374" s="491">
        <f t="shared" ca="1" si="163"/>
        <v>78.63636363636364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IFERROR(__xludf.DUMMYFUNCTION("IMPORTRANGE(""https://docs.google.com/spreadsheets/d/1XWAQStnk-4SwqDmLtmXYiTMKHgktTP8We1SCoS47DrQ/edit?usp=sharing"",""จัดที่ดิน!AH67"")"),83)</f>
        <v>83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IFERROR(__xludf.DUMMYFUNCTION("IMPORTRANGE(""https://docs.google.com/spreadsheets/d/1QqKyyYR6Q21VydFLVH3TRQUabQu_ym0Zz7PgGX0-kHA/edit?usp=sharing"",""แผน!ET67"")"),600)</f>
        <v>600</v>
      </c>
      <c r="J378" s="270">
        <f ca="1">IFERROR(__xludf.DUMMYFUNCTION("IMPORTRANGE(""https://docs.google.com/spreadsheets/d/1XWAQStnk-4SwqDmLtmXYiTMKHgktTP8We1SCoS47DrQ/edit?usp=sharing"",""จัดที่ดิน!AI67"")"),422.08)</f>
        <v>422.08</v>
      </c>
      <c r="K378" s="497">
        <f t="shared" ca="1" si="164"/>
        <v>70.346666666666664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IFERROR(__xludf.DUMMYFUNCTION("IMPORTRANGE(""https://docs.google.com/spreadsheets/d/1QqKyyYR6Q21VydFLVH3TRQUabQu_ym0Zz7PgGX0-kHA/edit?usp=sharing"",""แผน!EU67"")"),220)</f>
        <v>220</v>
      </c>
      <c r="J379" s="270">
        <f ca="1">IFERROR(__xludf.DUMMYFUNCTION("IMPORTRANGE(""https://docs.google.com/spreadsheets/d/1XWAQStnk-4SwqDmLtmXYiTMKHgktTP8We1SCoS47DrQ/edit?usp=sharing"",""จัดที่ดิน!AJ67"")"),174)</f>
        <v>174</v>
      </c>
      <c r="K379" s="497">
        <f t="shared" ca="1" si="164"/>
        <v>79.090909090909093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IFERROR(__xludf.DUMMYFUNCTION("IMPORTRANGE(""https://docs.google.com/spreadsheets/d/1XWAQStnk-4SwqDmLtmXYiTMKHgktTP8We1SCoS47DrQ/edit?usp=sharing"",""จัดที่ดิน!AK67"")"),1535.13999999999)</f>
        <v>1535.1399999999901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IFERROR(__xludf.DUMMYFUNCTION("IMPORTRANGE(""https://docs.google.com/spreadsheets/d/1QqKyyYR6Q21VydFLVH3TRQUabQu_ym0Zz7PgGX0-kHA/edit?usp=sharing"",""แผน!EU67"")"),220)</f>
        <v>220</v>
      </c>
      <c r="J381" s="270">
        <f ca="1">IFERROR(__xludf.DUMMYFUNCTION("IMPORTRANGE(""https://docs.google.com/spreadsheets/d/1XWAQStnk-4SwqDmLtmXYiTMKHgktTP8We1SCoS47DrQ/edit?usp=sharing"",""จัดที่ดิน!AL67"")"),173)</f>
        <v>173</v>
      </c>
      <c r="K381" s="497">
        <f t="shared" ca="1" si="164"/>
        <v>78.63636363636364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IFERROR(__xludf.DUMMYFUNCTION("IMPORTRANGE(""https://docs.google.com/spreadsheets/d/1XWAQStnk-4SwqDmLtmXYiTMKHgktTP8We1SCoS47DrQ/edit?usp=sharing"",""จัดที่ดิน!AM67"")"),1535.01)</f>
        <v>1535.01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1462298</v>
      </c>
      <c r="N414" s="549">
        <f t="shared" si="181"/>
        <v>599630.27</v>
      </c>
      <c r="O414" s="549">
        <f ca="1">IF(L414&gt;0,N414*100/L414,0)</f>
        <v>40.953931884400454</v>
      </c>
      <c r="P414" s="549">
        <f ca="1">IF(M414&gt;0,N414*100/M414,0)</f>
        <v>41.006024079907107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69423.56</v>
      </c>
      <c r="O419" s="155">
        <f t="shared" ref="O419:O424" ca="1" si="185">IF(L419&gt;0,N419*100/L419,0)</f>
        <v>72.649183758894935</v>
      </c>
      <c r="P419" s="155">
        <f t="shared" ref="P419:P424" ca="1" si="186">IF(M419&gt;0,N419*100/M419,0)</f>
        <v>74.091312700106727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69423.56</v>
      </c>
      <c r="O421" s="93">
        <f t="shared" ca="1" si="185"/>
        <v>72.649183758894935</v>
      </c>
      <c r="P421" s="93">
        <f t="shared" ca="1" si="186"/>
        <v>74.091312700106727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69423.56</v>
      </c>
      <c r="O422" s="497">
        <f t="shared" ca="1" si="185"/>
        <v>72.649183758894935</v>
      </c>
      <c r="P422" s="497">
        <f t="shared" ca="1" si="186"/>
        <v>74.091312700106727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69423.56</v>
      </c>
      <c r="O424" s="93">
        <f t="shared" ca="1" si="185"/>
        <v>72.649183758894935</v>
      </c>
      <c r="P424" s="93">
        <f t="shared" ca="1" si="186"/>
        <v>74.091312700106727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44000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25423.56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</v>
      </c>
      <c r="K466" s="566">
        <f t="shared" ca="1" si="205"/>
        <v>10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128030.08</v>
      </c>
      <c r="O467" s="195">
        <f t="shared" ref="O467:O472" ca="1" si="207">IF(L467&gt;0,N467*100/L467,0)</f>
        <v>26.314237384979332</v>
      </c>
      <c r="P467" s="195">
        <f t="shared" ref="P467:P472" ca="1" si="208">IF(M467&gt;0,N467*100/M467,0)</f>
        <v>26.314237384979332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128030.08</v>
      </c>
      <c r="O469" s="93">
        <f t="shared" ca="1" si="207"/>
        <v>26.314237384979332</v>
      </c>
      <c r="P469" s="93">
        <f t="shared" ca="1" si="208"/>
        <v>26.314237384979332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128030.08</v>
      </c>
      <c r="O470" s="497">
        <f t="shared" ca="1" si="207"/>
        <v>26.314237384979332</v>
      </c>
      <c r="P470" s="497">
        <f t="shared" ca="1" si="208"/>
        <v>26.314237384979332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128030.08</v>
      </c>
      <c r="O472" s="93">
        <f t="shared" ca="1" si="207"/>
        <v>26.314237384979332</v>
      </c>
      <c r="P472" s="93">
        <f t="shared" ca="1" si="208"/>
        <v>26.314237384979332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40645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7292.08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255500</v>
      </c>
      <c r="N544" s="155">
        <f t="shared" si="236"/>
        <v>165995.90000000002</v>
      </c>
      <c r="O544" s="155">
        <f t="shared" ref="O544:O549" ca="1" si="237">IF(L544&gt;0,N544*100/L544,0)</f>
        <v>64.969041095890418</v>
      </c>
      <c r="P544" s="155">
        <f t="shared" ref="P544:P549" ca="1" si="238">IF(M544&gt;0,N544*100/M544,0)</f>
        <v>64.969041095890418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255500</v>
      </c>
      <c r="N546" s="93">
        <f t="shared" si="240"/>
        <v>165995.90000000002</v>
      </c>
      <c r="O546" s="93">
        <f t="shared" ca="1" si="237"/>
        <v>64.969041095890418</v>
      </c>
      <c r="P546" s="93">
        <f t="shared" ca="1" si="238"/>
        <v>64.969041095890418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255500</v>
      </c>
      <c r="N547" s="497">
        <f t="shared" si="241"/>
        <v>165995.90000000002</v>
      </c>
      <c r="O547" s="497">
        <f t="shared" ca="1" si="237"/>
        <v>64.969041095890418</v>
      </c>
      <c r="P547" s="497">
        <f t="shared" ca="1" si="238"/>
        <v>64.969041095890418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</f>
        <v>255500</v>
      </c>
      <c r="N549" s="93">
        <f>N550+N551+N552+N553+N554</f>
        <v>165995.90000000002</v>
      </c>
      <c r="O549" s="93">
        <f t="shared" ca="1" si="237"/>
        <v>64.969041095890418</v>
      </c>
      <c r="P549" s="93">
        <f t="shared" ca="1" si="238"/>
        <v>64.969041095890418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76266.240000000005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89729.66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2005</v>
      </c>
      <c r="K592" s="672">
        <f t="shared" ref="K592:K594" ca="1" si="254">IF(I592&gt;0,J592*100/I592,0)</f>
        <v>57.413500333599643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2005</v>
      </c>
      <c r="K593" s="411">
        <f t="shared" ca="1" si="254"/>
        <v>57.413500333599643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72</v>
      </c>
      <c r="K594" s="411">
        <f t="shared" ca="1" si="254"/>
        <v>49.655172413793103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1858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383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1475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619055</v>
      </c>
      <c r="N629" s="195">
        <f t="shared" si="263"/>
        <v>232709.61</v>
      </c>
      <c r="O629" s="195">
        <f t="shared" ref="O629:O634" ca="1" si="264">IF(L629&gt;0,N629*100/L629,0)</f>
        <v>37.591104182988587</v>
      </c>
      <c r="P629" s="195">
        <f t="shared" ref="P629:P634" ca="1" si="265">IF(M629&gt;0,N629*100/M629,0)</f>
        <v>37.591104182988587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619055</v>
      </c>
      <c r="N631" s="93">
        <f t="shared" si="266"/>
        <v>232709.61</v>
      </c>
      <c r="O631" s="93">
        <f t="shared" ca="1" si="264"/>
        <v>37.591104182988587</v>
      </c>
      <c r="P631" s="93">
        <f t="shared" ca="1" si="265"/>
        <v>37.591104182988587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619055</v>
      </c>
      <c r="N632" s="497">
        <f t="shared" si="267"/>
        <v>232709.61</v>
      </c>
      <c r="O632" s="497">
        <f t="shared" ca="1" si="264"/>
        <v>37.591104182988587</v>
      </c>
      <c r="P632" s="497">
        <f t="shared" ca="1" si="265"/>
        <v>37.591104182988587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</f>
        <v>619055</v>
      </c>
      <c r="N634" s="93">
        <f>N635+N636+N637+N638</f>
        <v>232709.61</v>
      </c>
      <c r="O634" s="93">
        <f t="shared" ca="1" si="264"/>
        <v>37.591104182988587</v>
      </c>
      <c r="P634" s="93">
        <f t="shared" ca="1" si="265"/>
        <v>37.591104182988587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77133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155576.60999999999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IFERROR(__xludf.DUMMYFUNCTION("IMPORTRANGE(""https://docs.google.com/spreadsheets/d/19vJNZY_5yjcGF2XGBMNZRCAIB0Kwfpjp8YEOfu-bneM/edit?usp=sharing"",""งานกองทุน!F67"")"),955441.94)</f>
        <v>955441.94</v>
      </c>
      <c r="K821" s="497">
        <f t="shared" ref="K821:K828" ca="1" si="335">IF(I821&gt;0,J821*100/I821,0)</f>
        <v>60.364060937074832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IFERROR(__xludf.DUMMYFUNCTION("IMPORTRANGE(""https://docs.google.com/spreadsheets/d/19vJNZY_5yjcGF2XGBMNZRCAIB0Kwfpjp8YEOfu-bneM/edit?usp=sharing"",""งานกองทุน!E67"")"),75)</f>
        <v>75</v>
      </c>
      <c r="K822" s="497">
        <f t="shared" ca="1" si="335"/>
        <v>70.754716981132077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IFERROR(__xludf.DUMMYFUNCTION("IMPORTRANGE(""https://docs.google.com/spreadsheets/d/19vJNZY_5yjcGF2XGBMNZRCAIB0Kwfpjp8YEOfu-bneM/edit?usp=sharing"",""งานกองทุน!K67"")"),638466.81)</f>
        <v>638466.81000000006</v>
      </c>
      <c r="K823" s="497">
        <f t="shared" ca="1" si="335"/>
        <v>17.454908047384617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IFERROR(__xludf.DUMMYFUNCTION("IMPORTRANGE(""https://docs.google.com/spreadsheets/d/19vJNZY_5yjcGF2XGBMNZRCAIB0Kwfpjp8YEOfu-bneM/edit?usp=sharing"",""งานกองทุน!J67"")"),102)</f>
        <v>102</v>
      </c>
      <c r="K824" s="497">
        <f t="shared" ca="1" si="335"/>
        <v>55.434782608695649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97">
        <f t="shared" ca="1" si="335"/>
        <v>38.506188135067781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IFERROR(__xludf.DUMMYFUNCTION("IMPORTRANGE(""https://docs.google.com/spreadsheets/d/19vJNZY_5yjcGF2XGBMNZRCAIB0Kwfpjp8YEOfu-bneM/edit?usp=sharing"",""งานกองทุน!O67"")"),7)</f>
        <v>7</v>
      </c>
      <c r="K826" s="497">
        <f t="shared" ca="1" si="335"/>
        <v>58.333333333333336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IFERROR(__xludf.DUMMYFUNCTION("IMPORTRANGE(""https://docs.google.com/spreadsheets/d/19vJNZY_5yjcGF2XGBMNZRCAIB0Kwfpjp8YEOfu-bneM/edit?usp=sharing"",""งานกองทุน!U67"")"),1340000)</f>
        <v>1340000</v>
      </c>
      <c r="K827" s="497">
        <f t="shared" ca="1" si="335"/>
        <v>51.937984496124031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IFERROR(__xludf.DUMMYFUNCTION("IMPORTRANGE(""https://docs.google.com/spreadsheets/d/19vJNZY_5yjcGF2XGBMNZRCAIB0Kwfpjp8YEOfu-bneM/edit?usp=sharing"",""งานกองทุน!T67"")"),42)</f>
        <v>42</v>
      </c>
      <c r="K828" s="502">
        <f t="shared" ca="1" si="335"/>
        <v>40.776699029126213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78345-8C98-4A7E-AE04-232AC1B491B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6694175</v>
      </c>
      <c r="N8" s="22">
        <f t="shared" ca="1" si="0"/>
        <v>4363518.76</v>
      </c>
      <c r="O8" s="22">
        <f t="shared" ref="O8:O16" ca="1" si="1">IF(L8&gt;0,N8*100/L8,0)</f>
        <v>56.205995795678206</v>
      </c>
      <c r="P8" s="22">
        <f t="shared" ref="P8:P16" ca="1" si="2">IF(M8&gt;0,N8*100/M8,0)</f>
        <v>65.183816676438838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6694175</v>
      </c>
      <c r="N10" s="30">
        <f t="shared" ca="1" si="3"/>
        <v>4363518.76</v>
      </c>
      <c r="O10" s="30">
        <f t="shared" ca="1" si="1"/>
        <v>56.205995795678206</v>
      </c>
      <c r="P10" s="30">
        <f t="shared" ca="1" si="2"/>
        <v>65.183816676438838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6641375</v>
      </c>
      <c r="N11" s="497">
        <f t="shared" ca="1" si="4"/>
        <v>4310718.76</v>
      </c>
      <c r="O11" s="497">
        <f t="shared" ca="1" si="1"/>
        <v>55.906108442360164</v>
      </c>
      <c r="P11" s="497">
        <f t="shared" ca="1" si="2"/>
        <v>64.907022416291809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7710640</v>
      </c>
      <c r="M13" s="93">
        <f t="shared" ca="1" si="5"/>
        <v>6641375</v>
      </c>
      <c r="N13" s="93">
        <f t="shared" ca="1" si="5"/>
        <v>4310718.76</v>
      </c>
      <c r="O13" s="93">
        <f t="shared" ca="1" si="1"/>
        <v>55.906108442360164</v>
      </c>
      <c r="P13" s="93">
        <f t="shared" ca="1" si="2"/>
        <v>64.907022416291809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4164035</v>
      </c>
      <c r="N18" s="22">
        <f t="shared" ca="1" si="8"/>
        <v>3395751.17</v>
      </c>
      <c r="O18" s="22">
        <f t="shared" ref="O18:O26" ca="1" si="9">IF(L18&gt;0,N18*100/L18,0)</f>
        <v>64.987965436729695</v>
      </c>
      <c r="P18" s="22">
        <f t="shared" ref="P18:P26" ca="1" si="10">IF(M18&gt;0,N18*100/M18,0)</f>
        <v>81.549534766158303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4164035</v>
      </c>
      <c r="N20" s="30">
        <f t="shared" ca="1" si="11"/>
        <v>3395751.17</v>
      </c>
      <c r="O20" s="30">
        <f t="shared" ca="1" si="9"/>
        <v>64.987965436729695</v>
      </c>
      <c r="P20" s="30">
        <f t="shared" ca="1" si="10"/>
        <v>81.549534766158303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4111235</v>
      </c>
      <c r="N21" s="497">
        <f t="shared" ca="1" si="12"/>
        <v>3342951.17</v>
      </c>
      <c r="O21" s="497">
        <f t="shared" ca="1" si="9"/>
        <v>64.630561634831025</v>
      </c>
      <c r="P21" s="497">
        <f t="shared" ca="1" si="10"/>
        <v>81.312578093930412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4111235</v>
      </c>
      <c r="N23" s="93">
        <f t="shared" ca="1" si="13"/>
        <v>3342951.17</v>
      </c>
      <c r="O23" s="93">
        <f t="shared" ca="1" si="9"/>
        <v>64.630561634831025</v>
      </c>
      <c r="P23" s="93">
        <f t="shared" ca="1" si="10"/>
        <v>81.312578093930412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967767.59</v>
      </c>
      <c r="O28" s="22">
        <f t="shared" ref="O28:O37" ca="1" si="17">IF(L28&gt;0,N28*100/L28,0)</f>
        <v>38.127505279248616</v>
      </c>
      <c r="P28" s="22">
        <f t="shared" ref="P28:P37" ca="1" si="18">IF(M28&gt;0,N28*100/M28,0)</f>
        <v>38.249566822389276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967767.59</v>
      </c>
      <c r="O30" s="30">
        <f t="shared" ca="1" si="17"/>
        <v>38.127505279248616</v>
      </c>
      <c r="P30" s="30">
        <f t="shared" ca="1" si="18"/>
        <v>38.249566822389276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ca="1" si="20"/>
        <v>2530140</v>
      </c>
      <c r="N31" s="497">
        <f t="shared" si="20"/>
        <v>967767.59</v>
      </c>
      <c r="O31" s="497">
        <f t="shared" ca="1" si="17"/>
        <v>38.127505279248616</v>
      </c>
      <c r="P31" s="497">
        <f t="shared" ca="1" si="18"/>
        <v>38.249566822389276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2538240</v>
      </c>
      <c r="M33" s="93">
        <f t="shared" ca="1" si="21"/>
        <v>2530140</v>
      </c>
      <c r="N33" s="93">
        <f t="shared" si="21"/>
        <v>967767.59</v>
      </c>
      <c r="O33" s="93">
        <f t="shared" ca="1" si="17"/>
        <v>38.127505279248616</v>
      </c>
      <c r="P33" s="93">
        <f t="shared" ca="1" si="18"/>
        <v>38.249566822389276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4164035</v>
      </c>
      <c r="N37" s="59">
        <f t="shared" ca="1" si="24"/>
        <v>3395751.17</v>
      </c>
      <c r="O37" s="59">
        <f t="shared" ca="1" si="17"/>
        <v>64.987965436729695</v>
      </c>
      <c r="P37" s="59">
        <f t="shared" ca="1" si="18"/>
        <v>81.549534766158303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667220</v>
      </c>
      <c r="N41" s="85">
        <f t="shared" ca="1" si="25"/>
        <v>442050</v>
      </c>
      <c r="O41" s="85">
        <f t="shared" ref="O41:O49" ca="1" si="26">IF(L41&gt;0,N41*100/L41,0)</f>
        <v>67.231939163498097</v>
      </c>
      <c r="P41" s="85">
        <f t="shared" ref="P41:P49" ca="1" si="27">IF(M41&gt;0,N41*100/M41,0)</f>
        <v>66.252510416354426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667220</v>
      </c>
      <c r="N43" s="92">
        <f t="shared" ca="1" si="28"/>
        <v>442050</v>
      </c>
      <c r="O43" s="92">
        <f t="shared" ca="1" si="26"/>
        <v>67.231939163498097</v>
      </c>
      <c r="P43" s="92">
        <f t="shared" ca="1" si="27"/>
        <v>66.252510416354426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667220</v>
      </c>
      <c r="N44" s="497">
        <f t="shared" ca="1" si="29"/>
        <v>442050</v>
      </c>
      <c r="O44" s="497">
        <f t="shared" ca="1" si="26"/>
        <v>67.231939163498097</v>
      </c>
      <c r="P44" s="497">
        <f t="shared" ca="1" si="27"/>
        <v>66.252510416354426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IFERROR(__xludf.DUMMYFUNCTION("IMPORTRANGE(""https://docs.google.com/spreadsheets/d/1MeEWN-I1oV_STSDYn1IFDPWt_1FKiwhDph83XaGc0o0/edit?usp=sharing"",""งบพรบ!R68"")"),667220)</f>
        <v>667220</v>
      </c>
      <c r="N46" s="93">
        <f ca="1">IFERROR(__xludf.DUMMYFUNCTION("IMPORTRANGE(""https://docs.google.com/spreadsheets/d/1MeEWN-I1oV_STSDYn1IFDPWt_1FKiwhDph83XaGc0o0/edit?usp=sharing"",""งบพรบ!T68"")"),442050)</f>
        <v>442050</v>
      </c>
      <c r="O46" s="93">
        <f t="shared" ca="1" si="26"/>
        <v>67.231939163498097</v>
      </c>
      <c r="P46" s="93">
        <f t="shared" ca="1" si="27"/>
        <v>66.252510416354426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606175</v>
      </c>
      <c r="N53" s="116">
        <f t="shared" ca="1" si="31"/>
        <v>580701.76</v>
      </c>
      <c r="O53" s="116">
        <f t="shared" ref="O53:O61" ca="1" si="32">IF(L53&gt;0,N53*100/L53,0)</f>
        <v>72.074191386372092</v>
      </c>
      <c r="P53" s="116">
        <f t="shared" ref="P53:P61" ca="1" si="33">IF(M53&gt;0,N53*100/M53,0)</f>
        <v>95.797708582505052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606175</v>
      </c>
      <c r="N55" s="123">
        <f t="shared" ca="1" si="34"/>
        <v>580701.76</v>
      </c>
      <c r="O55" s="123">
        <f t="shared" ca="1" si="32"/>
        <v>72.074191386372092</v>
      </c>
      <c r="P55" s="123">
        <f t="shared" ca="1" si="33"/>
        <v>95.797708582505052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606175</v>
      </c>
      <c r="N56" s="497">
        <f t="shared" ca="1" si="35"/>
        <v>580701.76</v>
      </c>
      <c r="O56" s="497">
        <f t="shared" ca="1" si="32"/>
        <v>72.074191386372092</v>
      </c>
      <c r="P56" s="497">
        <f t="shared" ca="1" si="33"/>
        <v>95.797708582505052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IFERROR(__xludf.DUMMYFUNCTION("IMPORTRANGE(""https://docs.google.com/spreadsheets/d/1MeEWN-I1oV_STSDYn1IFDPWt_1FKiwhDph83XaGc0o0/edit?usp=sharing"",""งบพรบ!AB68"")"),606175)</f>
        <v>606175</v>
      </c>
      <c r="N58" s="93">
        <f ca="1">IFERROR(__xludf.DUMMYFUNCTION("IMPORTRANGE(""https://docs.google.com/spreadsheets/d/1MeEWN-I1oV_STSDYn1IFDPWt_1FKiwhDph83XaGc0o0/edit?usp=sharing"",""งบพรบ!AD68"")"),580701.76)</f>
        <v>580701.76</v>
      </c>
      <c r="O58" s="93">
        <f t="shared" ca="1" si="32"/>
        <v>72.074191386372092</v>
      </c>
      <c r="P58" s="93">
        <f t="shared" ca="1" si="33"/>
        <v>95.797708582505052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1435340</v>
      </c>
      <c r="N66" s="155">
        <f t="shared" ca="1" si="39"/>
        <v>1176277.4099999999</v>
      </c>
      <c r="O66" s="155">
        <f t="shared" ref="O66:O74" ca="1" si="40">IF(L66&gt;0,N66*100/L66,0)</f>
        <v>59.648955882352936</v>
      </c>
      <c r="P66" s="155">
        <f t="shared" ref="P66:P74" ca="1" si="41">IF(M66&gt;0,N66*100/M66,0)</f>
        <v>81.951134226037027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1435340</v>
      </c>
      <c r="N68" s="93">
        <f t="shared" ca="1" si="42"/>
        <v>1176277.4099999999</v>
      </c>
      <c r="O68" s="93">
        <f t="shared" ca="1" si="40"/>
        <v>59.648955882352936</v>
      </c>
      <c r="P68" s="93">
        <f t="shared" ca="1" si="41"/>
        <v>81.951134226037027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1435340</v>
      </c>
      <c r="N69" s="497">
        <f t="shared" ca="1" si="43"/>
        <v>1176277.4099999999</v>
      </c>
      <c r="O69" s="497">
        <f t="shared" ca="1" si="40"/>
        <v>59.648955882352936</v>
      </c>
      <c r="P69" s="497">
        <f t="shared" ca="1" si="41"/>
        <v>81.951134226037027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IFERROR(__xludf.DUMMYFUNCTION("IMPORTRANGE(""https://docs.google.com/spreadsheets/d/1MeEWN-I1oV_STSDYn1IFDPWt_1FKiwhDph83XaGc0o0/edit?usp=sharing"",""งบพรบ!AL68"")"),1435340)</f>
        <v>1435340</v>
      </c>
      <c r="N71" s="93">
        <f ca="1">IFERROR(__xludf.DUMMYFUNCTION("IMPORTRANGE(""https://docs.google.com/spreadsheets/d/1MeEWN-I1oV_STSDYn1IFDPWt_1FKiwhDph83XaGc0o0/edit?usp=sharing"",""งบพรบ!AN68"")"),1176277.41)</f>
        <v>1176277.4099999999</v>
      </c>
      <c r="O71" s="93">
        <f t="shared" ca="1" si="40"/>
        <v>59.648955882352936</v>
      </c>
      <c r="P71" s="93">
        <f t="shared" ca="1" si="41"/>
        <v>81.951134226037027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298260</v>
      </c>
      <c r="N88" s="155">
        <f t="shared" ca="1" si="49"/>
        <v>245434</v>
      </c>
      <c r="O88" s="155">
        <f t="shared" ref="O88:O96" ca="1" si="50">IF(L88&gt;0,N88*100/L88,0)</f>
        <v>63.838630806845963</v>
      </c>
      <c r="P88" s="155">
        <f t="shared" ref="P88:P96" ca="1" si="51">IF(M88&gt;0,N88*100/M88,0)</f>
        <v>82.288607255414732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298260</v>
      </c>
      <c r="N90" s="93">
        <f t="shared" ca="1" si="52"/>
        <v>245434</v>
      </c>
      <c r="O90" s="93">
        <f t="shared" ca="1" si="50"/>
        <v>63.838630806845963</v>
      </c>
      <c r="P90" s="93">
        <f t="shared" ca="1" si="51"/>
        <v>82.288607255414732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298260</v>
      </c>
      <c r="N91" s="497">
        <f t="shared" ca="1" si="53"/>
        <v>245434</v>
      </c>
      <c r="O91" s="497">
        <f t="shared" ca="1" si="50"/>
        <v>63.838630806845963</v>
      </c>
      <c r="P91" s="497">
        <f t="shared" ca="1" si="51"/>
        <v>82.288607255414732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IFERROR(__xludf.DUMMYFUNCTION("IMPORTRANGE(""https://docs.google.com/spreadsheets/d/1MeEWN-I1oV_STSDYn1IFDPWt_1FKiwhDph83XaGc0o0/edit?usp=sharing"",""งบพรบ!AV68"")"),298260)</f>
        <v>298260</v>
      </c>
      <c r="N93" s="93">
        <f ca="1">IFERROR(__xludf.DUMMYFUNCTION("IMPORTRANGE(""https://docs.google.com/spreadsheets/d/1MeEWN-I1oV_STSDYn1IFDPWt_1FKiwhDph83XaGc0o0/edit?usp=sharing"",""งบพรบ!AX68"")"),245434)</f>
        <v>245434</v>
      </c>
      <c r="O93" s="93">
        <f t="shared" ca="1" si="50"/>
        <v>63.838630806845963</v>
      </c>
      <c r="P93" s="93">
        <f t="shared" ca="1" si="51"/>
        <v>82.288607255414732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62500</v>
      </c>
      <c r="N181" s="155">
        <f t="shared" ca="1" si="92"/>
        <v>36440</v>
      </c>
      <c r="O181" s="155">
        <f t="shared" ref="O181:O189" ca="1" si="93">IF(L181&gt;0,N181*100/L181,0)</f>
        <v>40.943820224719104</v>
      </c>
      <c r="P181" s="155">
        <f t="shared" ref="P181:P189" ca="1" si="94">IF(M181&gt;0,N181*100/M181,0)</f>
        <v>58.304000000000002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62500</v>
      </c>
      <c r="N183" s="93">
        <f t="shared" ca="1" si="95"/>
        <v>36440</v>
      </c>
      <c r="O183" s="93">
        <f t="shared" ca="1" si="93"/>
        <v>40.943820224719104</v>
      </c>
      <c r="P183" s="93">
        <f t="shared" ca="1" si="94"/>
        <v>58.304000000000002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62500</v>
      </c>
      <c r="N184" s="497">
        <f t="shared" ca="1" si="96"/>
        <v>36440</v>
      </c>
      <c r="O184" s="497">
        <f t="shared" ca="1" si="93"/>
        <v>40.943820224719104</v>
      </c>
      <c r="P184" s="497">
        <f t="shared" ca="1" si="94"/>
        <v>58.304000000000002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IFERROR(__xludf.DUMMYFUNCTION("IMPORTRANGE(""https://docs.google.com/spreadsheets/d/1MeEWN-I1oV_STSDYn1IFDPWt_1FKiwhDph83XaGc0o0/edit?usp=sharing"",""งบพรบ!CT68"")"),62500)</f>
        <v>62500</v>
      </c>
      <c r="N186" s="93">
        <f ca="1">IFERROR(__xludf.DUMMYFUNCTION("IMPORTRANGE(""https://docs.google.com/spreadsheets/d/1MeEWN-I1oV_STSDYn1IFDPWt_1FKiwhDph83XaGc0o0/edit?usp=sharing"",""งบพรบ!CV68"")"),36440)</f>
        <v>36440</v>
      </c>
      <c r="O186" s="93">
        <f t="shared" ca="1" si="93"/>
        <v>40.943820224719104</v>
      </c>
      <c r="P186" s="93">
        <f t="shared" ca="1" si="94"/>
        <v>58.304000000000002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33720</v>
      </c>
      <c r="O198" s="155">
        <f ca="1">IF(L198&gt;0,N198*100/L198,0)</f>
        <v>64.84615384615384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1720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92.38493723849372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92.38493723849372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92.38493723849372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IFERROR(__xludf.DUMMYFUNCTION("IMPORTRANGE(""https://docs.google.com/spreadsheets/d/1MeEWN-I1oV_STSDYn1IFDPWt_1FKiwhDph83XaGc0o0/edit?usp=sharing"",""งบพรบ!DD68"")"),23900)</f>
        <v>23900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92.38493723849372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600</v>
      </c>
      <c r="J276" s="874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209680</v>
      </c>
      <c r="O277" s="155">
        <f t="shared" ref="O277:O285" ca="1" si="126">IF(L277&gt;0,N277*100/L277,0)</f>
        <v>96.635634620702362</v>
      </c>
      <c r="P277" s="155">
        <f t="shared" ref="P277:P285" ca="1" si="127">IF(M277&gt;0,N277*100/M277,0)</f>
        <v>96.635634620702362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209680</v>
      </c>
      <c r="O279" s="93">
        <f t="shared" ca="1" si="126"/>
        <v>96.635634620702362</v>
      </c>
      <c r="P279" s="93">
        <f t="shared" ca="1" si="127"/>
        <v>96.635634620702362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209680</v>
      </c>
      <c r="O280" s="497">
        <f t="shared" ca="1" si="126"/>
        <v>96.635634620702362</v>
      </c>
      <c r="P280" s="497">
        <f t="shared" ca="1" si="127"/>
        <v>96.635634620702362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IFERROR(__xludf.DUMMYFUNCTION("IMPORTRANGE(""https://docs.google.com/spreadsheets/d/1MeEWN-I1oV_STSDYn1IFDPWt_1FKiwhDph83XaGc0o0/edit?usp=sharing"",""งบพรบ!DP68"")"),209680)</f>
        <v>209680</v>
      </c>
      <c r="O282" s="93">
        <f t="shared" ca="1" si="126"/>
        <v>96.635634620702362</v>
      </c>
      <c r="P282" s="93">
        <f t="shared" ca="1" si="127"/>
        <v>96.635634620702362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99410</v>
      </c>
      <c r="O298" s="155">
        <f t="shared" ref="O298:O306" ca="1" si="136">IF(L298&gt;0,N298*100/L298,0)</f>
        <v>98.425742574257427</v>
      </c>
      <c r="P298" s="155">
        <f t="shared" ref="P298:P306" ca="1" si="137">IF(M298&gt;0,N298*100/M298,0)</f>
        <v>98.425742574257427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99410</v>
      </c>
      <c r="O300" s="93">
        <f t="shared" ca="1" si="136"/>
        <v>98.425742574257427</v>
      </c>
      <c r="P300" s="93">
        <f t="shared" ca="1" si="137"/>
        <v>98.425742574257427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99410</v>
      </c>
      <c r="O301" s="497">
        <f t="shared" ca="1" si="136"/>
        <v>98.425742574257427</v>
      </c>
      <c r="P301" s="497">
        <f t="shared" ca="1" si="137"/>
        <v>98.425742574257427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IFERROR(__xludf.DUMMYFUNCTION("IMPORTRANGE(""https://docs.google.com/spreadsheets/d/1MeEWN-I1oV_STSDYn1IFDPWt_1FKiwhDph83XaGc0o0/edit?usp=sharing"",""งบพรบ!DZ68"")"),99410)</f>
        <v>99410</v>
      </c>
      <c r="O303" s="93">
        <f t="shared" ca="1" si="136"/>
        <v>98.425742574257427</v>
      </c>
      <c r="P303" s="93">
        <f t="shared" ca="1" si="137"/>
        <v>98.425742574257427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2691</v>
      </c>
      <c r="K327" s="445">
        <f ca="1">IF(I327&gt;0,J327*100/I327,0)</f>
        <v>128.14285714285714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91638</v>
      </c>
      <c r="O328" s="155">
        <f t="shared" ref="O328:O336" ca="1" si="150">IF(L328&gt;0,N328*100/L328,0)</f>
        <v>53.904705882352943</v>
      </c>
      <c r="P328" s="155">
        <f t="shared" ref="P328:P336" ca="1" si="151">IF(M328&gt;0,N328*100/M328,0)</f>
        <v>70.490769230769232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91638</v>
      </c>
      <c r="O330" s="93">
        <f t="shared" ca="1" si="150"/>
        <v>53.904705882352943</v>
      </c>
      <c r="P330" s="93">
        <f t="shared" ca="1" si="151"/>
        <v>70.490769230769232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91638</v>
      </c>
      <c r="O331" s="497">
        <f t="shared" ca="1" si="150"/>
        <v>53.904705882352943</v>
      </c>
      <c r="P331" s="497">
        <f t="shared" ca="1" si="151"/>
        <v>70.490769230769232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IFERROR(__xludf.DUMMYFUNCTION("IMPORTRANGE(""https://docs.google.com/spreadsheets/d/1MeEWN-I1oV_STSDYn1IFDPWt_1FKiwhDph83XaGc0o0/edit?usp=sharing"",""งบพรบ!ER68"")"),130000)</f>
        <v>130000</v>
      </c>
      <c r="N333" s="93">
        <f ca="1">IFERROR(__xludf.DUMMYFUNCTION("IMPORTRANGE(""https://docs.google.com/spreadsheets/d/1MeEWN-I1oV_STSDYn1IFDPWt_1FKiwhDph83XaGc0o0/edit?usp=sharing"",""งบพรบ!ET68"")"),91638)</f>
        <v>91638</v>
      </c>
      <c r="O333" s="93">
        <f t="shared" ca="1" si="150"/>
        <v>53.904705882352943</v>
      </c>
      <c r="P333" s="93">
        <f t="shared" ca="1" si="151"/>
        <v>70.490769230769232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IFERROR(__xludf.DUMMYFUNCTION("IMPORTRANGE(""https://docs.google.com/spreadsheets/d/1kVcqe37tkHyjCSG3S0O1AXqVkqjo8mSIZil3BcpIysc/edit?usp=sharing"",""ศูนย์!D68"")"),2691)</f>
        <v>2691</v>
      </c>
      <c r="K338" s="497">
        <f ca="1">IF(I338&gt;0,J338*100/I338,0)</f>
        <v>128.14285714285714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594600</v>
      </c>
      <c r="N345" s="155">
        <f t="shared" ca="1" si="155"/>
        <v>463980</v>
      </c>
      <c r="O345" s="155">
        <f t="shared" ref="O345:O353" ca="1" si="156">IF(L345&gt;0,N345*100/L345,0)</f>
        <v>59.976732161323682</v>
      </c>
      <c r="P345" s="155">
        <f t="shared" ref="P345:P353" ca="1" si="157">IF(M345&gt;0,N345*100/M345,0)</f>
        <v>78.032290615539864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594600</v>
      </c>
      <c r="N347" s="93">
        <f t="shared" ca="1" si="158"/>
        <v>463980</v>
      </c>
      <c r="O347" s="93">
        <f t="shared" ca="1" si="156"/>
        <v>59.976732161323682</v>
      </c>
      <c r="P347" s="93">
        <f t="shared" ca="1" si="157"/>
        <v>78.032290615539864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541800</v>
      </c>
      <c r="N348" s="497">
        <f t="shared" ca="1" si="159"/>
        <v>411180</v>
      </c>
      <c r="O348" s="497">
        <f t="shared" ca="1" si="156"/>
        <v>57.044950055493892</v>
      </c>
      <c r="P348" s="497">
        <f t="shared" ca="1" si="157"/>
        <v>75.891472868217051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IFERROR(__xludf.DUMMYFUNCTION("IMPORTRANGE(""https://docs.google.com/spreadsheets/d/1MeEWN-I1oV_STSDYn1IFDPWt_1FKiwhDph83XaGc0o0/edit?usp=sharing"",""งบพรบ!FB68"")"),541800)</f>
        <v>541800</v>
      </c>
      <c r="N350" s="93">
        <f ca="1">IFERROR(__xludf.DUMMYFUNCTION("IMPORTRANGE(""https://docs.google.com/spreadsheets/d/1MeEWN-I1oV_STSDYn1IFDPWt_1FKiwhDph83XaGc0o0/edit?usp=sharing"",""งบพรบ!FD68"")"),411180)</f>
        <v>411180</v>
      </c>
      <c r="O350" s="93">
        <f t="shared" ca="1" si="156"/>
        <v>57.044950055493892</v>
      </c>
      <c r="P350" s="93">
        <f t="shared" ca="1" si="157"/>
        <v>75.891472868217051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108</v>
      </c>
      <c r="K355" s="465">
        <f ca="1">IF(I355&gt;0,J355*100/I355,0)</f>
        <v>29.189189189189189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IFERROR(__xludf.DUMMYFUNCTION("IMPORTRANGE(""https://docs.google.com/spreadsheets/d/1XWAQStnk-4SwqDmLtmXYiTMKHgktTP8We1SCoS47DrQ/edit?usp=sharing"",""จัดที่ดิน!W68"")"),280)</f>
        <v>280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IFERROR(__xludf.DUMMYFUNCTION("IMPORTRANGE(""https://docs.google.com/spreadsheets/d/1XWAQStnk-4SwqDmLtmXYiTMKHgktTP8We1SCoS47DrQ/edit?usp=sharing"",""จัดที่ดิน!X68"")"),3218.23)</f>
        <v>3218.23</v>
      </c>
      <c r="K359" s="497">
        <f t="shared" ca="1" si="161"/>
        <v>80.455749999999995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IFERROR(__xludf.DUMMYFUNCTION("IMPORTRANGE(""https://docs.google.com/spreadsheets/d/1XWAQStnk-4SwqDmLtmXYiTMKHgktTP8We1SCoS47DrQ/edit?usp=sharing"",""จัดที่ดิน!Y68"")"),224)</f>
        <v>224</v>
      </c>
      <c r="K360" s="497">
        <f t="shared" ca="1" si="161"/>
        <v>60.54054054054054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IFERROR(__xludf.DUMMYFUNCTION("IMPORTRANGE(""https://docs.google.com/spreadsheets/d/1XWAQStnk-4SwqDmLtmXYiTMKHgktTP8We1SCoS47DrQ/edit?usp=sharing"",""จัดที่ดิน!Z68"")"),2490.47)</f>
        <v>2490.4699999999998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IFERROR(__xludf.DUMMYFUNCTION("IMPORTRANGE(""https://docs.google.com/spreadsheets/d/1XWAQStnk-4SwqDmLtmXYiTMKHgktTP8We1SCoS47DrQ/edit?usp=sharing"",""จัดที่ดิน!AA68"")"),108)</f>
        <v>108</v>
      </c>
      <c r="K362" s="497">
        <f t="shared" ca="1" si="161"/>
        <v>29.189189189189189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IFERROR(__xludf.DUMMYFUNCTION("IMPORTRANGE(""https://docs.google.com/spreadsheets/d/1XWAQStnk-4SwqDmLtmXYiTMKHgktTP8We1SCoS47DrQ/edit?usp=sharing"",""จัดที่ดิน!AB68"")"),1259.05)</f>
        <v>1259.05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269</v>
      </c>
      <c r="K364" s="479">
        <f t="shared" ca="1" si="161"/>
        <v>53.8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15</v>
      </c>
      <c r="K365" s="491">
        <f t="shared" ca="1" si="161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IFERROR(__xludf.DUMMYFUNCTION("IMPORTRANGE(""https://docs.google.com/spreadsheets/d/1XWAQStnk-4SwqDmLtmXYiTMKHgktTP8We1SCoS47DrQ/edit?usp=sharing"",""จัดที่ดิน!E68"")"),36)</f>
        <v>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IFERROR(__xludf.DUMMYFUNCTION("IMPORTRANGE(""https://docs.google.com/spreadsheets/d/1XWAQStnk-4SwqDmLtmXYiTMKHgktTP8We1SCoS47DrQ/edit?usp=sharing"",""จัดที่ดิน!F68"")"),468.7)</f>
        <v>468.7</v>
      </c>
      <c r="K369" s="497">
        <f t="shared" ca="1" si="163"/>
        <v>93.74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IFERROR(__xludf.DUMMYFUNCTION("IMPORTRANGE(""https://docs.google.com/spreadsheets/d/1XWAQStnk-4SwqDmLtmXYiTMKHgktTP8We1SCoS47DrQ/edit?usp=sharing"",""จัดที่ดิน!G68"")"),15)</f>
        <v>15</v>
      </c>
      <c r="K370" s="497">
        <f t="shared" ca="1" si="163"/>
        <v>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IFERROR(__xludf.DUMMYFUNCTION("IMPORTRANGE(""https://docs.google.com/spreadsheets/d/1XWAQStnk-4SwqDmLtmXYiTMKHgktTP8We1SCoS47DrQ/edit?usp=sharing"",""จัดที่ดิน!H68"")"),179)</f>
        <v>179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IFERROR(__xludf.DUMMYFUNCTION("IMPORTRANGE(""https://docs.google.com/spreadsheets/d/1XWAQStnk-4SwqDmLtmXYiTMKHgktTP8We1SCoS47DrQ/edit?usp=sharing"",""จัดที่ดิน!I68"")"),15)</f>
        <v>15</v>
      </c>
      <c r="K372" s="497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IFERROR(__xludf.DUMMYFUNCTION("IMPORTRANGE(""https://docs.google.com/spreadsheets/d/1XWAQStnk-4SwqDmLtmXYiTMKHgktTP8We1SCoS47DrQ/edit?usp=sharing"",""จัดที่ดิน!J68"")"),158.7)</f>
        <v>158.69999999999999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254</v>
      </c>
      <c r="K374" s="491">
        <f t="shared" ca="1" si="163"/>
        <v>52.916666666666664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IFERROR(__xludf.DUMMYFUNCTION("IMPORTRANGE(""https://docs.google.com/spreadsheets/d/1XWAQStnk-4SwqDmLtmXYiTMKHgktTP8We1SCoS47DrQ/edit?usp=sharing"",""จัดที่ดิน!AH68"")"),244)</f>
        <v>244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IFERROR(__xludf.DUMMYFUNCTION("IMPORTRANGE(""https://docs.google.com/spreadsheets/d/1XWAQStnk-4SwqDmLtmXYiTMKHgktTP8We1SCoS47DrQ/edit?usp=sharing"",""จัดที่ดิน!AI68"")"),2749.53)</f>
        <v>2749.53</v>
      </c>
      <c r="K378" s="497">
        <f t="shared" ca="1" si="164"/>
        <v>78.558000000000007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IFERROR(__xludf.DUMMYFUNCTION("IMPORTRANGE(""https://docs.google.com/spreadsheets/d/1XWAQStnk-4SwqDmLtmXYiTMKHgktTP8We1SCoS47DrQ/edit?usp=sharing"",""จัดที่ดิน!AJ68"")"),371)</f>
        <v>371</v>
      </c>
      <c r="K379" s="497">
        <f t="shared" ca="1" si="164"/>
        <v>77.291666666666671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IFERROR(__xludf.DUMMYFUNCTION("IMPORTRANGE(""https://docs.google.com/spreadsheets/d/1XWAQStnk-4SwqDmLtmXYiTMKHgktTP8We1SCoS47DrQ/edit?usp=sharing"",""จัดที่ดิน!AK68"")"),4773.96999999999)</f>
        <v>4773.9699999999903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IFERROR(__xludf.DUMMYFUNCTION("IMPORTRANGE(""https://docs.google.com/spreadsheets/d/1XWAQStnk-4SwqDmLtmXYiTMKHgktTP8We1SCoS47DrQ/edit?usp=sharing"",""จัดที่ดิน!AL68"")"),254)</f>
        <v>254</v>
      </c>
      <c r="K381" s="497">
        <f t="shared" ca="1" si="164"/>
        <v>52.916666666666664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IFERROR(__xludf.DUMMYFUNCTION("IMPORTRANGE(""https://docs.google.com/spreadsheets/d/1XWAQStnk-4SwqDmLtmXYiTMKHgktTP8We1SCoS47DrQ/edit?usp=sharing"",""จัดที่ดิน!AM68"")"),3553.06999999999)</f>
        <v>3553.0699999999902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IFERROR(__xludf.DUMMYFUNCTION("IMPORTRANGE(""https://docs.google.com/spreadsheets/d/1XWAQStnk-4SwqDmLtmXYiTMKHgktTP8We1SCoS47DrQ/edit?usp=sharing"",""จัดที่ดิน!AP68"")"),4)</f>
        <v>4</v>
      </c>
      <c r="K385" s="502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2538240</v>
      </c>
      <c r="M414" s="549">
        <f t="shared" ca="1" si="181"/>
        <v>2530140</v>
      </c>
      <c r="N414" s="549">
        <f t="shared" si="181"/>
        <v>967767.59</v>
      </c>
      <c r="O414" s="549">
        <f ca="1">IF(L414&gt;0,N414*100/L414,0)</f>
        <v>38.127505279248616</v>
      </c>
      <c r="P414" s="549">
        <f ca="1">IF(M414&gt;0,N414*100/M414,0)</f>
        <v>38.249566822389276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195880</v>
      </c>
      <c r="O419" s="155">
        <f t="shared" ref="O419:O424" ca="1" si="185">IF(L419&gt;0,N419*100/L419,0)</f>
        <v>83.888650963597428</v>
      </c>
      <c r="P419" s="155">
        <f t="shared" ref="P419:P424" ca="1" si="186">IF(M419&gt;0,N419*100/M419,0)</f>
        <v>86.90328305235137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195880</v>
      </c>
      <c r="O421" s="93">
        <f t="shared" ca="1" si="185"/>
        <v>83.888650963597428</v>
      </c>
      <c r="P421" s="93">
        <f t="shared" ca="1" si="186"/>
        <v>86.90328305235137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195880</v>
      </c>
      <c r="O422" s="497">
        <f t="shared" ca="1" si="185"/>
        <v>83.888650963597428</v>
      </c>
      <c r="P422" s="497">
        <f t="shared" ca="1" si="186"/>
        <v>86.90328305235137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195880</v>
      </c>
      <c r="O424" s="93">
        <f t="shared" ca="1" si="185"/>
        <v>83.888650963597428</v>
      </c>
      <c r="P424" s="93">
        <f t="shared" ca="1" si="186"/>
        <v>86.90328305235137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13340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198706</v>
      </c>
      <c r="O444" s="195">
        <f t="shared" ref="O444:O449" ca="1" si="198">IF(L444&gt;0,N444*100/L444,0)</f>
        <v>63.610346373007232</v>
      </c>
      <c r="P444" s="195">
        <f t="shared" ref="P444:P449" ca="1" si="199">IF(M444&gt;0,N444*100/M444,0)</f>
        <v>63.610346373007232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198706</v>
      </c>
      <c r="O446" s="93">
        <f t="shared" ca="1" si="198"/>
        <v>63.610346373007232</v>
      </c>
      <c r="P446" s="93">
        <f t="shared" ca="1" si="199"/>
        <v>63.610346373007232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198706</v>
      </c>
      <c r="O447" s="497">
        <f t="shared" ca="1" si="198"/>
        <v>63.610346373007232</v>
      </c>
      <c r="P447" s="497">
        <f t="shared" ca="1" si="199"/>
        <v>63.610346373007232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198706</v>
      </c>
      <c r="O449" s="93">
        <f t="shared" ca="1" si="198"/>
        <v>63.610346373007232</v>
      </c>
      <c r="P449" s="93">
        <f t="shared" ca="1" si="199"/>
        <v>63.610346373007232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64146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237252</v>
      </c>
      <c r="O467" s="195">
        <f t="shared" ref="O467:O472" ca="1" si="207">IF(L467&gt;0,N467*100/L467,0)</f>
        <v>20.339000486931713</v>
      </c>
      <c r="P467" s="195">
        <f t="shared" ref="P467:P472" ca="1" si="208">IF(M467&gt;0,N467*100/M467,0)</f>
        <v>20.339000486931713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237252</v>
      </c>
      <c r="O469" s="93">
        <f t="shared" ca="1" si="207"/>
        <v>20.339000486931713</v>
      </c>
      <c r="P469" s="93">
        <f t="shared" ca="1" si="208"/>
        <v>20.339000486931713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237252</v>
      </c>
      <c r="O470" s="497">
        <f t="shared" ca="1" si="207"/>
        <v>20.339000486931713</v>
      </c>
      <c r="P470" s="497">
        <f t="shared" ca="1" si="208"/>
        <v>20.339000486931713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237252</v>
      </c>
      <c r="O472" s="93">
        <f t="shared" ca="1" si="207"/>
        <v>20.339000486931713</v>
      </c>
      <c r="P472" s="93">
        <f t="shared" ca="1" si="208"/>
        <v>20.339000486931713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78000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7452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ca="1" si="236"/>
        <v>451282</v>
      </c>
      <c r="N544" s="155">
        <f t="shared" si="236"/>
        <v>211706</v>
      </c>
      <c r="O544" s="155">
        <f t="shared" ref="O544:O549" ca="1" si="237">IF(L544&gt;0,N544*100/L544,0)</f>
        <v>46.912130330923901</v>
      </c>
      <c r="P544" s="155">
        <f t="shared" ref="P544:P549" ca="1" si="238">IF(M544&gt;0,N544*100/M544,0)</f>
        <v>46.912130330923901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451282</v>
      </c>
      <c r="M546" s="93">
        <f t="shared" ca="1" si="240"/>
        <v>451282</v>
      </c>
      <c r="N546" s="93">
        <f t="shared" si="240"/>
        <v>211706</v>
      </c>
      <c r="O546" s="93">
        <f t="shared" ca="1" si="237"/>
        <v>46.912130330923901</v>
      </c>
      <c r="P546" s="93">
        <f t="shared" ca="1" si="238"/>
        <v>46.912130330923901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ca="1" si="241"/>
        <v>451282</v>
      </c>
      <c r="N547" s="497">
        <f t="shared" si="241"/>
        <v>211706</v>
      </c>
      <c r="O547" s="497">
        <f t="shared" ca="1" si="237"/>
        <v>46.912130330923901</v>
      </c>
      <c r="P547" s="497">
        <f t="shared" ca="1" si="238"/>
        <v>46.912130330923901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f ca="1">L549</f>
        <v>451282</v>
      </c>
      <c r="N549" s="93">
        <f>N550+N551+N552+N553+N554</f>
        <v>211706</v>
      </c>
      <c r="O549" s="93">
        <f t="shared" ca="1" si="237"/>
        <v>46.912130330923901</v>
      </c>
      <c r="P549" s="93">
        <f t="shared" ca="1" si="238"/>
        <v>46.912130330923901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134140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36182.44</v>
      </c>
      <c r="K568" s="411">
        <f t="shared" ref="K568:K569" ca="1" si="249">IF(I568&gt;0,J568*100/I568,0)</f>
        <v>100.00121607429108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341770</v>
      </c>
      <c r="N629" s="195">
        <f t="shared" si="263"/>
        <v>117551.59</v>
      </c>
      <c r="O629" s="195">
        <f t="shared" ref="O629:O634" ca="1" si="264">IF(L629&gt;0,N629*100/L629,0)</f>
        <v>34.394941042221376</v>
      </c>
      <c r="P629" s="195">
        <f t="shared" ref="P629:P634" ca="1" si="265">IF(M629&gt;0,N629*100/M629,0)</f>
        <v>34.394941042221376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341770</v>
      </c>
      <c r="N631" s="93">
        <f t="shared" si="266"/>
        <v>117551.59</v>
      </c>
      <c r="O631" s="93">
        <f t="shared" ca="1" si="264"/>
        <v>34.394941042221376</v>
      </c>
      <c r="P631" s="93">
        <f t="shared" ca="1" si="265"/>
        <v>34.394941042221376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341770</v>
      </c>
      <c r="N632" s="497">
        <f t="shared" si="267"/>
        <v>117551.59</v>
      </c>
      <c r="O632" s="497">
        <f t="shared" ca="1" si="264"/>
        <v>34.394941042221376</v>
      </c>
      <c r="P632" s="497">
        <f t="shared" ca="1" si="265"/>
        <v>34.394941042221376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</f>
        <v>341770</v>
      </c>
      <c r="N634" s="93">
        <f>N635+N636+N637+N638</f>
        <v>117551.59</v>
      </c>
      <c r="O634" s="93">
        <f t="shared" ca="1" si="264"/>
        <v>34.394941042221376</v>
      </c>
      <c r="P634" s="93">
        <f t="shared" ca="1" si="265"/>
        <v>34.394941042221376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91000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26551.59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IFERROR(__xludf.DUMMYFUNCTION("IMPORTRANGE(""https://docs.google.com/spreadsheets/d/1XWAQStnk-4SwqDmLtmXYiTMKHgktTP8We1SCoS47DrQ/edit?usp=sharing"",""จัดที่ดิน!AS68"")"),69)</f>
        <v>69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IFERROR(__xludf.DUMMYFUNCTION("IMPORTRANGE(""https://docs.google.com/spreadsheets/d/1XWAQStnk-4SwqDmLtmXYiTMKHgktTP8We1SCoS47DrQ/edit?usp=sharing"",""จัดที่ดิน!AT68"")"),38.51)</f>
        <v>38.51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IFERROR(__xludf.DUMMYFUNCTION("IMPORTRANGE(""https://docs.google.com/spreadsheets/d/1XWAQStnk-4SwqDmLtmXYiTMKHgktTP8We1SCoS47DrQ/edit?usp=sharing"",""จัดที่ดิน!AV68"")"),15.03)</f>
        <v>15.03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3980</v>
      </c>
      <c r="O655" s="195">
        <f t="shared" ref="O655:O660" ca="1" si="274">IF(L655&gt;0,N655*100/L655,0)</f>
        <v>36.18181818181818</v>
      </c>
      <c r="P655" s="195">
        <f t="shared" ref="P655:P660" ca="1" si="275">IF(M655&gt;0,N655*100/M655,0)</f>
        <v>36.18181818181818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3980</v>
      </c>
      <c r="O657" s="93">
        <f t="shared" ca="1" si="274"/>
        <v>36.18181818181818</v>
      </c>
      <c r="P657" s="93">
        <f t="shared" ca="1" si="275"/>
        <v>36.18181818181818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3980</v>
      </c>
      <c r="O658" s="497">
        <f t="shared" ca="1" si="274"/>
        <v>36.18181818181818</v>
      </c>
      <c r="P658" s="497">
        <f t="shared" ca="1" si="275"/>
        <v>36.18181818181818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3980</v>
      </c>
      <c r="O660" s="93">
        <f t="shared" ca="1" si="274"/>
        <v>36.18181818181818</v>
      </c>
      <c r="P660" s="93">
        <f t="shared" ca="1" si="275"/>
        <v>36.18181818181818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3980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2692</v>
      </c>
      <c r="O685" s="195">
        <f t="shared" ref="O685:O688" ca="1" si="283">IF(L685&gt;0,N685*100/L685,0)</f>
        <v>12.33730522456462</v>
      </c>
      <c r="P685" s="195">
        <f t="shared" ref="P685:P688" ca="1" si="284">IF(M685&gt;0,N685*100/M685,0)</f>
        <v>12.33730522456462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2692</v>
      </c>
      <c r="O687" s="93">
        <f t="shared" ca="1" si="283"/>
        <v>12.33730522456462</v>
      </c>
      <c r="P687" s="93">
        <f t="shared" ca="1" si="284"/>
        <v>12.33730522456462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2692</v>
      </c>
      <c r="O688" s="497">
        <f t="shared" ca="1" si="283"/>
        <v>12.33730522456462</v>
      </c>
      <c r="P688" s="497">
        <f t="shared" ca="1" si="284"/>
        <v>12.33730522456462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2692</v>
      </c>
      <c r="O690" s="93">
        <f ca="1">IF(L690&gt;0,N690*100/L690,0)</f>
        <v>12.33730522456462</v>
      </c>
      <c r="P690" s="93">
        <f ca="1">IF(M690&gt;0,N690*100/M690,0)</f>
        <v>12.33730522456462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2692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1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85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3</v>
      </c>
      <c r="K721" s="195">
        <f t="shared" ca="1" si="291"/>
        <v>30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53.24</v>
      </c>
      <c r="K722" s="195">
        <f t="shared" ca="1" si="291"/>
        <v>106.48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IFERROR(__xludf.DUMMYFUNCTION("IMPORTRANGE(""https://docs.google.com/spreadsheets/d/1XWAQStnk-4SwqDmLtmXYiTMKHgktTP8We1SCoS47DrQ/edit?usp=sharing"",""จัดที่ดิน!BM68"")"),3)</f>
        <v>3</v>
      </c>
      <c r="K723" s="497">
        <f t="shared" ca="1" si="291"/>
        <v>30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IFERROR(__xludf.DUMMYFUNCTION("IMPORTRANGE(""https://docs.google.com/spreadsheets/d/1XWAQStnk-4SwqDmLtmXYiTMKHgktTP8We1SCoS47DrQ/edit?usp=sharing"",""จัดที่ดิน!BN68"")"),3)</f>
        <v>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IFERROR(__xludf.DUMMYFUNCTION("IMPORTRANGE(""https://docs.google.com/spreadsheets/d/1XWAQStnk-4SwqDmLtmXYiTMKHgktTP8We1SCoS47DrQ/edit?usp=sharing"",""จัดที่ดิน!BO68"")"),53.24)</f>
        <v>53.24</v>
      </c>
      <c r="K725" s="497">
        <f t="shared" ref="K725:K726" ca="1" si="292">IF(I725&gt;0,J725*100/I725,0)</f>
        <v>106.48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IFERROR(__xludf.DUMMYFUNCTION("IMPORTRANGE(""https://docs.google.com/spreadsheets/d/19vJNZY_5yjcGF2XGBMNZRCAIB0Kwfpjp8YEOfu-bneM/edit?usp=sharing"",""งานกองทุน!F68"")"),4495119.46)</f>
        <v>4495119.46</v>
      </c>
      <c r="K821" s="497">
        <f t="shared" ref="K821:K828" ca="1" si="335">IF(I821&gt;0,J821*100/I821,0)</f>
        <v>40.268169637752727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IFERROR(__xludf.DUMMYFUNCTION("IMPORTRANGE(""https://docs.google.com/spreadsheets/d/19vJNZY_5yjcGF2XGBMNZRCAIB0Kwfpjp8YEOfu-bneM/edit?usp=sharing"",""งานกองทุน!E68"")"),158)</f>
        <v>158</v>
      </c>
      <c r="K822" s="497">
        <f t="shared" ca="1" si="335"/>
        <v>44.257703081232492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IFERROR(__xludf.DUMMYFUNCTION("IMPORTRANGE(""https://docs.google.com/spreadsheets/d/19vJNZY_5yjcGF2XGBMNZRCAIB0Kwfpjp8YEOfu-bneM/edit?usp=sharing"",""งานกองทุน!K68"")"),493852.48)</f>
        <v>493852.48</v>
      </c>
      <c r="K823" s="497">
        <f t="shared" ca="1" si="335"/>
        <v>6.6285420683588061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IFERROR(__xludf.DUMMYFUNCTION("IMPORTRANGE(""https://docs.google.com/spreadsheets/d/19vJNZY_5yjcGF2XGBMNZRCAIB0Kwfpjp8YEOfu-bneM/edit?usp=sharing"",""งานกองทุน!J68"")"),32)</f>
        <v>32</v>
      </c>
      <c r="K824" s="497">
        <f t="shared" ca="1" si="335"/>
        <v>9.7859327217125376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IFERROR(__xludf.DUMMYFUNCTION("IMPORTRANGE(""https://docs.google.com/spreadsheets/d/19vJNZY_5yjcGF2XGBMNZRCAIB0Kwfpjp8YEOfu-bneM/edit?usp=sharing"",""งานกองทุน!P68"")"),1781089.59)</f>
        <v>1781089.59</v>
      </c>
      <c r="K825" s="497">
        <f t="shared" ca="1" si="335"/>
        <v>19.164696520726871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IFERROR(__xludf.DUMMYFUNCTION("IMPORTRANGE(""https://docs.google.com/spreadsheets/d/19vJNZY_5yjcGF2XGBMNZRCAIB0Kwfpjp8YEOfu-bneM/edit?usp=sharing"",""งานกองทุน!O68"")"),406)</f>
        <v>406</v>
      </c>
      <c r="K826" s="497">
        <f t="shared" ca="1" si="335"/>
        <v>33.169934640522875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IFERROR(__xludf.DUMMYFUNCTION("IMPORTRANGE(""https://docs.google.com/spreadsheets/d/19vJNZY_5yjcGF2XGBMNZRCAIB0Kwfpjp8YEOfu-bneM/edit?usp=sharing"",""งานกองทุน!U68"")"),3685000)</f>
        <v>3685000</v>
      </c>
      <c r="K827" s="497">
        <f t="shared" ca="1" si="335"/>
        <v>32.813891362422083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IFERROR(__xludf.DUMMYFUNCTION("IMPORTRANGE(""https://docs.google.com/spreadsheets/d/19vJNZY_5yjcGF2XGBMNZRCAIB0Kwfpjp8YEOfu-bneM/edit?usp=sharing"",""งานกองทุน!T68"")"),116)</f>
        <v>116</v>
      </c>
      <c r="K828" s="502">
        <f t="shared" ca="1" si="335"/>
        <v>25.835189309576837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0C6CA-0C4D-4FE2-BF07-7A15625B6502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6510035.3200000003</v>
      </c>
      <c r="N8" s="22">
        <f t="shared" ca="1" si="0"/>
        <v>4132293.87</v>
      </c>
      <c r="O8" s="22">
        <f t="shared" ref="O8:O16" ca="1" si="1">IF(L8&gt;0,N8*100/L8,0)</f>
        <v>56.026849079934273</v>
      </c>
      <c r="P8" s="22">
        <f t="shared" ref="P8:P16" ca="1" si="2">IF(M8&gt;0,N8*100/M8,0)</f>
        <v>63.475751925720729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6510035.3200000003</v>
      </c>
      <c r="N10" s="30">
        <f t="shared" ca="1" si="3"/>
        <v>4132293.87</v>
      </c>
      <c r="O10" s="30">
        <f t="shared" ca="1" si="1"/>
        <v>56.026849079934273</v>
      </c>
      <c r="P10" s="30">
        <f t="shared" ca="1" si="2"/>
        <v>63.475751925720729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5878820.04</v>
      </c>
      <c r="N11" s="497">
        <f t="shared" ca="1" si="4"/>
        <v>3501078.59</v>
      </c>
      <c r="O11" s="497">
        <f t="shared" ca="1" si="1"/>
        <v>52.302054239941675</v>
      </c>
      <c r="P11" s="497">
        <f t="shared" ca="1" si="2"/>
        <v>59.554103819786256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6693960</v>
      </c>
      <c r="M13" s="93">
        <f t="shared" ca="1" si="5"/>
        <v>5878820.04</v>
      </c>
      <c r="N13" s="93">
        <f t="shared" ca="1" si="5"/>
        <v>3501078.59</v>
      </c>
      <c r="O13" s="93">
        <f t="shared" ca="1" si="1"/>
        <v>52.302054239941675</v>
      </c>
      <c r="P13" s="93">
        <f t="shared" ca="1" si="2"/>
        <v>59.554103819786256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4269038.32</v>
      </c>
      <c r="N18" s="22">
        <f t="shared" ca="1" si="8"/>
        <v>3260026.58</v>
      </c>
      <c r="O18" s="22">
        <f t="shared" ref="O18:O26" ca="1" si="9">IF(L18&gt;0,N18*100/L18,0)</f>
        <v>63.491802126101092</v>
      </c>
      <c r="P18" s="22">
        <f t="shared" ref="P18:P26" ca="1" si="10">IF(M18&gt;0,N18*100/M18,0)</f>
        <v>76.364425325655077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4269038.32</v>
      </c>
      <c r="N20" s="30">
        <f t="shared" ca="1" si="11"/>
        <v>3260026.58</v>
      </c>
      <c r="O20" s="30">
        <f t="shared" ca="1" si="9"/>
        <v>63.491802126101092</v>
      </c>
      <c r="P20" s="30">
        <f t="shared" ca="1" si="10"/>
        <v>76.364425325655077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3637823.04</v>
      </c>
      <c r="N21" s="497">
        <f t="shared" ca="1" si="12"/>
        <v>2628811.2999999998</v>
      </c>
      <c r="O21" s="497">
        <f t="shared" ca="1" si="9"/>
        <v>59.035103143682079</v>
      </c>
      <c r="P21" s="497">
        <f t="shared" ca="1" si="10"/>
        <v>72.263308882666252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3637823.04</v>
      </c>
      <c r="N23" s="93">
        <f t="shared" ca="1" si="13"/>
        <v>2628811.2999999998</v>
      </c>
      <c r="O23" s="93">
        <f t="shared" ca="1" si="9"/>
        <v>59.035103143682079</v>
      </c>
      <c r="P23" s="93">
        <f t="shared" ca="1" si="10"/>
        <v>72.263308882666252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872267.28999999992</v>
      </c>
      <c r="O28" s="22">
        <f t="shared" ref="O28:O37" ca="1" si="17">IF(L28&gt;0,N28*100/L28,0)</f>
        <v>38.923179727594452</v>
      </c>
      <c r="P28" s="22">
        <f t="shared" ref="P28:P37" ca="1" si="18">IF(M28&gt;0,N28*100/M28,0)</f>
        <v>38.923179727594452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872267.28999999992</v>
      </c>
      <c r="O30" s="30">
        <f t="shared" ca="1" si="17"/>
        <v>38.923179727594452</v>
      </c>
      <c r="P30" s="30">
        <f t="shared" ca="1" si="18"/>
        <v>38.923179727594452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ca="1" si="20"/>
        <v>2240997</v>
      </c>
      <c r="N31" s="497">
        <f t="shared" si="20"/>
        <v>872267.28999999992</v>
      </c>
      <c r="O31" s="497">
        <f t="shared" ca="1" si="17"/>
        <v>38.923179727594452</v>
      </c>
      <c r="P31" s="497">
        <f t="shared" ca="1" si="18"/>
        <v>38.923179727594452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2240997</v>
      </c>
      <c r="M33" s="93">
        <f t="shared" ca="1" si="21"/>
        <v>2240997</v>
      </c>
      <c r="N33" s="93">
        <f t="shared" si="21"/>
        <v>872267.28999999992</v>
      </c>
      <c r="O33" s="93">
        <f t="shared" ca="1" si="17"/>
        <v>38.923179727594452</v>
      </c>
      <c r="P33" s="93">
        <f t="shared" ca="1" si="18"/>
        <v>38.923179727594452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4269038.32</v>
      </c>
      <c r="N37" s="59">
        <f t="shared" ca="1" si="24"/>
        <v>3260026.58</v>
      </c>
      <c r="O37" s="59">
        <f t="shared" ca="1" si="17"/>
        <v>63.491802126101092</v>
      </c>
      <c r="P37" s="59">
        <f t="shared" ca="1" si="18"/>
        <v>76.364425325655077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426133.04</v>
      </c>
      <c r="N41" s="85">
        <f t="shared" ca="1" si="25"/>
        <v>309519.93</v>
      </c>
      <c r="O41" s="85">
        <f t="shared" ref="O41:O49" ca="1" si="26">IF(L41&gt;0,N41*100/L41,0)</f>
        <v>76.100916348473035</v>
      </c>
      <c r="P41" s="85">
        <f t="shared" ref="P41:P49" ca="1" si="27">IF(M41&gt;0,N41*100/M41,0)</f>
        <v>72.634576750960221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426133.04</v>
      </c>
      <c r="N43" s="92">
        <f t="shared" ca="1" si="28"/>
        <v>309519.93</v>
      </c>
      <c r="O43" s="92">
        <f t="shared" ca="1" si="26"/>
        <v>76.100916348473035</v>
      </c>
      <c r="P43" s="92">
        <f t="shared" ca="1" si="27"/>
        <v>72.634576750960221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426133.04</v>
      </c>
      <c r="N44" s="497">
        <f t="shared" ca="1" si="29"/>
        <v>309519.93</v>
      </c>
      <c r="O44" s="497">
        <f t="shared" ca="1" si="26"/>
        <v>76.100916348473035</v>
      </c>
      <c r="P44" s="497">
        <f t="shared" ca="1" si="27"/>
        <v>72.634576750960221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IFERROR(__xludf.DUMMYFUNCTION("IMPORTRANGE(""https://docs.google.com/spreadsheets/d/1MeEWN-I1oV_STSDYn1IFDPWt_1FKiwhDph83XaGc0o0/edit?usp=sharing"",""งบพรบ!R69"")"),426133.04)</f>
        <v>426133.04</v>
      </c>
      <c r="N46" s="93">
        <f ca="1">IFERROR(__xludf.DUMMYFUNCTION("IMPORTRANGE(""https://docs.google.com/spreadsheets/d/1MeEWN-I1oV_STSDYn1IFDPWt_1FKiwhDph83XaGc0o0/edit?usp=sharing"",""งบพรบ!T69"")"),309519.93)</f>
        <v>309519.93</v>
      </c>
      <c r="O46" s="93">
        <f t="shared" ca="1" si="26"/>
        <v>76.100916348473035</v>
      </c>
      <c r="P46" s="93">
        <f t="shared" ca="1" si="27"/>
        <v>72.634576750960221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1182435.28</v>
      </c>
      <c r="N53" s="116">
        <f t="shared" ca="1" si="31"/>
        <v>1142978.1000000001</v>
      </c>
      <c r="O53" s="116">
        <f t="shared" ref="O53:O61" ca="1" si="32">IF(L53&gt;0,N53*100/L53,0)</f>
        <v>82.668747287718801</v>
      </c>
      <c r="P53" s="116">
        <f t="shared" ref="P53:P61" ca="1" si="33">IF(M53&gt;0,N53*100/M53,0)</f>
        <v>96.663057956119175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1182435.28</v>
      </c>
      <c r="N55" s="123">
        <f t="shared" ca="1" si="34"/>
        <v>1142978.1000000001</v>
      </c>
      <c r="O55" s="123">
        <f t="shared" ca="1" si="32"/>
        <v>82.668747287718801</v>
      </c>
      <c r="P55" s="123">
        <f t="shared" ca="1" si="33"/>
        <v>96.663057956119175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675820</v>
      </c>
      <c r="N56" s="497">
        <f t="shared" ca="1" si="35"/>
        <v>636362.81999999995</v>
      </c>
      <c r="O56" s="497">
        <f t="shared" ca="1" si="32"/>
        <v>77.078829941860462</v>
      </c>
      <c r="P56" s="497">
        <f t="shared" ca="1" si="33"/>
        <v>94.161584445562411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IFERROR(__xludf.DUMMYFUNCTION("IMPORTRANGE(""https://docs.google.com/spreadsheets/d/1MeEWN-I1oV_STSDYn1IFDPWt_1FKiwhDph83XaGc0o0/edit?usp=sharing"",""งบพรบ!AB69"")"),675820)</f>
        <v>675820</v>
      </c>
      <c r="N58" s="93">
        <f ca="1">IFERROR(__xludf.DUMMYFUNCTION("IMPORTRANGE(""https://docs.google.com/spreadsheets/d/1MeEWN-I1oV_STSDYn1IFDPWt_1FKiwhDph83XaGc0o0/edit?usp=sharing"",""งบพรบ!AD69"")"),636362.82)</f>
        <v>636362.81999999995</v>
      </c>
      <c r="O58" s="93">
        <f t="shared" ca="1" si="32"/>
        <v>77.078829941860462</v>
      </c>
      <c r="P58" s="93">
        <f t="shared" ca="1" si="33"/>
        <v>94.161584445562411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727190</v>
      </c>
      <c r="N66" s="155">
        <f t="shared" ca="1" si="39"/>
        <v>360293.59</v>
      </c>
      <c r="O66" s="155">
        <f t="shared" ref="O66:O74" ca="1" si="40">IF(L66&gt;0,N66*100/L66,0)</f>
        <v>39.389263146386796</v>
      </c>
      <c r="P66" s="155">
        <f t="shared" ref="P66:P74" ca="1" si="41">IF(M66&gt;0,N66*100/M66,0)</f>
        <v>49.546004483009945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727190</v>
      </c>
      <c r="N68" s="93">
        <f t="shared" ca="1" si="42"/>
        <v>360293.59</v>
      </c>
      <c r="O68" s="93">
        <f t="shared" ca="1" si="40"/>
        <v>39.389263146386796</v>
      </c>
      <c r="P68" s="93">
        <f t="shared" ca="1" si="41"/>
        <v>49.546004483009945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727190</v>
      </c>
      <c r="N69" s="497">
        <f t="shared" ca="1" si="43"/>
        <v>360293.59</v>
      </c>
      <c r="O69" s="497">
        <f t="shared" ca="1" si="40"/>
        <v>39.389263146386796</v>
      </c>
      <c r="P69" s="497">
        <f t="shared" ca="1" si="41"/>
        <v>49.546004483009945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IFERROR(__xludf.DUMMYFUNCTION("IMPORTRANGE(""https://docs.google.com/spreadsheets/d/1MeEWN-I1oV_STSDYn1IFDPWt_1FKiwhDph83XaGc0o0/edit?usp=sharing"",""งบพรบ!AL69"")"),727190)</f>
        <v>727190</v>
      </c>
      <c r="N71" s="93">
        <f ca="1">IFERROR(__xludf.DUMMYFUNCTION("IMPORTRANGE(""https://docs.google.com/spreadsheets/d/1MeEWN-I1oV_STSDYn1IFDPWt_1FKiwhDph83XaGc0o0/edit?usp=sharing"",""งบพรบ!AN69"")"),360293.59)</f>
        <v>360293.59</v>
      </c>
      <c r="O71" s="93">
        <f t="shared" ca="1" si="40"/>
        <v>39.389263146386796</v>
      </c>
      <c r="P71" s="93">
        <f t="shared" ca="1" si="41"/>
        <v>49.546004483009945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90760</v>
      </c>
      <c r="N88" s="155">
        <f t="shared" ca="1" si="49"/>
        <v>33260</v>
      </c>
      <c r="O88" s="155">
        <f t="shared" ref="O88:O96" ca="1" si="50">IF(L88&gt;0,N88*100/L88,0)</f>
        <v>33.609539207760712</v>
      </c>
      <c r="P88" s="155">
        <f t="shared" ref="P88:P96" ca="1" si="51">IF(M88&gt;0,N88*100/M88,0)</f>
        <v>36.646099603349491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90760</v>
      </c>
      <c r="N90" s="93">
        <f t="shared" ca="1" si="52"/>
        <v>33260</v>
      </c>
      <c r="O90" s="93">
        <f t="shared" ca="1" si="50"/>
        <v>33.609539207760712</v>
      </c>
      <c r="P90" s="93">
        <f t="shared" ca="1" si="51"/>
        <v>36.646099603349491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90760</v>
      </c>
      <c r="N91" s="497">
        <f t="shared" ca="1" si="53"/>
        <v>33260</v>
      </c>
      <c r="O91" s="497">
        <f t="shared" ca="1" si="50"/>
        <v>33.609539207760712</v>
      </c>
      <c r="P91" s="497">
        <f t="shared" ca="1" si="51"/>
        <v>36.646099603349491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IFERROR(__xludf.DUMMYFUNCTION("IMPORTRANGE(""https://docs.google.com/spreadsheets/d/1MeEWN-I1oV_STSDYn1IFDPWt_1FKiwhDph83XaGc0o0/edit?usp=sharing"",""งบพรบ!AV69"")"),90760)</f>
        <v>90760</v>
      </c>
      <c r="N93" s="93">
        <f ca="1">IFERROR(__xludf.DUMMYFUNCTION("IMPORTRANGE(""https://docs.google.com/spreadsheets/d/1MeEWN-I1oV_STSDYn1IFDPWt_1FKiwhDph83XaGc0o0/edit?usp=sharing"",""งบพรบ!AX69"")"),33260)</f>
        <v>33260</v>
      </c>
      <c r="O93" s="93">
        <f t="shared" ca="1" si="50"/>
        <v>33.609539207760712</v>
      </c>
      <c r="P93" s="93">
        <f t="shared" ca="1" si="51"/>
        <v>36.646099603349491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265300</v>
      </c>
      <c r="N181" s="155">
        <f t="shared" ca="1" si="92"/>
        <v>191080</v>
      </c>
      <c r="O181" s="155">
        <f t="shared" ref="O181:O189" ca="1" si="93">IF(L181&gt;0,N181*100/L181,0)</f>
        <v>69.031791907514446</v>
      </c>
      <c r="P181" s="155">
        <f t="shared" ref="P181:P189" ca="1" si="94">IF(M181&gt;0,N181*100/M181,0)</f>
        <v>72.02412363362231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265300</v>
      </c>
      <c r="N183" s="93">
        <f t="shared" ca="1" si="95"/>
        <v>191080</v>
      </c>
      <c r="O183" s="93">
        <f t="shared" ca="1" si="93"/>
        <v>69.031791907514446</v>
      </c>
      <c r="P183" s="93">
        <f t="shared" ca="1" si="94"/>
        <v>72.02412363362231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265300</v>
      </c>
      <c r="N184" s="497">
        <f t="shared" ca="1" si="96"/>
        <v>191080</v>
      </c>
      <c r="O184" s="497">
        <f t="shared" ca="1" si="93"/>
        <v>69.031791907514446</v>
      </c>
      <c r="P184" s="497">
        <f t="shared" ca="1" si="94"/>
        <v>72.02412363362231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IFERROR(__xludf.DUMMYFUNCTION("IMPORTRANGE(""https://docs.google.com/spreadsheets/d/1MeEWN-I1oV_STSDYn1IFDPWt_1FKiwhDph83XaGc0o0/edit?usp=sharing"",""งบพรบ!CT69"")"),265300)</f>
        <v>265300</v>
      </c>
      <c r="N186" s="93">
        <f ca="1">IFERROR(__xludf.DUMMYFUNCTION("IMPORTRANGE(""https://docs.google.com/spreadsheets/d/1MeEWN-I1oV_STSDYn1IFDPWt_1FKiwhDph83XaGc0o0/edit?usp=sharing"",""งบพรบ!CV69"")"),191080)</f>
        <v>191080</v>
      </c>
      <c r="O186" s="93">
        <f t="shared" ca="1" si="93"/>
        <v>69.031791907514446</v>
      </c>
      <c r="P186" s="93">
        <f t="shared" ca="1" si="94"/>
        <v>72.02412363362231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2180</v>
      </c>
      <c r="O191" s="155">
        <f ca="1">IF(L191&gt;0,N191*100/L191,0)</f>
        <v>36.333333333333336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26340</v>
      </c>
      <c r="O198" s="155">
        <f ca="1">IF(L198&gt;0,N198*100/L198,0)</f>
        <v>67.538461538461533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2340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53420</v>
      </c>
      <c r="O209" s="155">
        <f ca="1">IF(L209&gt;0,N209*100/L209,0)</f>
        <v>63.595238095238095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5420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98220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25420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1</v>
      </c>
      <c r="K236" s="93">
        <f t="shared" si="110"/>
        <v>50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52420</v>
      </c>
      <c r="O238" s="155">
        <f ca="1">IF(L238&gt;0,N238*100/L238,0)</f>
        <v>76.191860465116278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72">
        <v>13620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72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45800</v>
      </c>
      <c r="O249" s="155">
        <f ca="1">IF(L249&gt;0,N249*100/L249,0)</f>
        <v>71.5625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72">
        <v>11800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72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IFERROR(__xludf.DUMMYFUNCTION("IMPORTRANGE(""https://docs.google.com/spreadsheets/d/1MeEWN-I1oV_STSDYn1IFDPWt_1FKiwhDph83XaGc0o0/edit?usp=sharing"",""งบพรบ!DD69"")"),23900)</f>
        <v>23900</v>
      </c>
      <c r="N266" s="93">
        <f ca="1">IFERROR(__xludf.DUMMYFUNCTION("IMPORTRANGE(""https://docs.google.com/spreadsheets/d/1MeEWN-I1oV_STSDYn1IFDPWt_1FKiwhDph83XaGc0o0/edit?usp=sharing"",""งบพรบ!DF69"")"),0)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300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91.14249037227215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91.14249037227215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91.14249037227215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IFERROR(__xludf.DUMMYFUNCTION("IMPORTRANGE(""https://docs.google.com/spreadsheets/d/1MeEWN-I1oV_STSDYn1IFDPWt_1FKiwhDph83XaGc0o0/edit?usp=sharing"",""งบพรบ!DN69"")"),54530)</f>
        <v>54530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91.14249037227215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100112.15</v>
      </c>
      <c r="O315" s="155">
        <f t="shared" ref="O315:O323" ca="1" si="144">IF(L315&gt;0,N315*100/L315,0)</f>
        <v>65.432777777777773</v>
      </c>
      <c r="P315" s="155">
        <f t="shared" ref="P315:P323" ca="1" si="145">IF(M315&gt;0,N315*100/M315,0)</f>
        <v>87.434192139737988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100112.15</v>
      </c>
      <c r="O317" s="93">
        <f t="shared" ca="1" si="144"/>
        <v>65.432777777777773</v>
      </c>
      <c r="P317" s="93">
        <f t="shared" ca="1" si="145"/>
        <v>87.434192139737988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100112.15</v>
      </c>
      <c r="O318" s="497">
        <f t="shared" ca="1" si="144"/>
        <v>65.432777777777773</v>
      </c>
      <c r="P318" s="497">
        <f t="shared" ca="1" si="145"/>
        <v>87.434192139737988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IFERROR(__xludf.DUMMYFUNCTION("IMPORTRANGE(""https://docs.google.com/spreadsheets/d/1MeEWN-I1oV_STSDYn1IFDPWt_1FKiwhDph83XaGc0o0/edit?usp=sharing"",""งบพรบ!EH69"")"),114500)</f>
        <v>114500</v>
      </c>
      <c r="N320" s="93">
        <f ca="1">IFERROR(__xludf.DUMMYFUNCTION("IMPORTRANGE(""https://docs.google.com/spreadsheets/d/1MeEWN-I1oV_STSDYn1IFDPWt_1FKiwhDph83XaGc0o0/edit?usp=sharing"",""งบพรบ!EJ69"")"),100112.15)</f>
        <v>100112.15</v>
      </c>
      <c r="O320" s="93">
        <f t="shared" ca="1" si="144"/>
        <v>65.432777777777773</v>
      </c>
      <c r="P320" s="93">
        <f t="shared" ca="1" si="145"/>
        <v>87.434192139737988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3926</v>
      </c>
      <c r="K327" s="445">
        <f ca="1">IF(I327&gt;0,J327*100/I327,0)</f>
        <v>74.075471698113205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119411.3</v>
      </c>
      <c r="O328" s="155">
        <f t="shared" ref="O328:O336" ca="1" si="150">IF(L328&gt;0,N328*100/L328,0)</f>
        <v>65.610604395604398</v>
      </c>
      <c r="P328" s="155">
        <f t="shared" ref="P328:P336" ca="1" si="151">IF(M328&gt;0,N328*100/M328,0)</f>
        <v>85.907410071942451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119411.3</v>
      </c>
      <c r="O330" s="93">
        <f t="shared" ca="1" si="150"/>
        <v>65.610604395604398</v>
      </c>
      <c r="P330" s="93">
        <f t="shared" ca="1" si="151"/>
        <v>85.907410071942451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139000</v>
      </c>
      <c r="N331" s="497">
        <f t="shared" ca="1" si="153"/>
        <v>119411.3</v>
      </c>
      <c r="O331" s="497">
        <f t="shared" ca="1" si="150"/>
        <v>65.610604395604398</v>
      </c>
      <c r="P331" s="497">
        <f t="shared" ca="1" si="151"/>
        <v>85.907410071942451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IFERROR(__xludf.DUMMYFUNCTION("IMPORTRANGE(""https://docs.google.com/spreadsheets/d/1MeEWN-I1oV_STSDYn1IFDPWt_1FKiwhDph83XaGc0o0/edit?usp=sharing"",""งบพรบ!ER69"")"),139000)</f>
        <v>139000</v>
      </c>
      <c r="N333" s="93">
        <f ca="1">IFERROR(__xludf.DUMMYFUNCTION("IMPORTRANGE(""https://docs.google.com/spreadsheets/d/1MeEWN-I1oV_STSDYn1IFDPWt_1FKiwhDph83XaGc0o0/edit?usp=sharing"",""งบพรบ!ET69"")"),119411.3)</f>
        <v>119411.3</v>
      </c>
      <c r="O333" s="93">
        <f t="shared" ca="1" si="150"/>
        <v>65.610604395604398</v>
      </c>
      <c r="P333" s="93">
        <f t="shared" ca="1" si="151"/>
        <v>85.907410071942451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IFERROR(__xludf.DUMMYFUNCTION("IMPORTRANGE(""https://docs.google.com/spreadsheets/d/1kVcqe37tkHyjCSG3S0O1AXqVkqjo8mSIZil3BcpIysc/edit?usp=sharing"",""ศูนย์!D69"")"),3849)</f>
        <v>3849</v>
      </c>
      <c r="K338" s="497">
        <f ca="1">IF(I338&gt;0,J338*100/I338,0)</f>
        <v>72.622641509433961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IFERROR(__xludf.DUMMYFUNCTION("IMPORTRANGE(""https://docs.google.com/spreadsheets/d/1kVcqe37tkHyjCSG3S0O1AXqVkqjo8mSIZil3BcpIysc/edit?usp=sharing"",""ศูนย์!F69"")"),77)</f>
        <v>77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1197440</v>
      </c>
      <c r="N345" s="155">
        <f t="shared" ca="1" si="155"/>
        <v>905821.51</v>
      </c>
      <c r="O345" s="155">
        <f t="shared" ref="O345:O353" ca="1" si="156">IF(L345&gt;0,N345*100/L345,0)</f>
        <v>59.075829572431061</v>
      </c>
      <c r="P345" s="155">
        <f t="shared" ref="P345:P353" ca="1" si="157">IF(M345&gt;0,N345*100/M345,0)</f>
        <v>75.64650504409407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1197440</v>
      </c>
      <c r="N347" s="93">
        <f t="shared" ca="1" si="158"/>
        <v>905821.51</v>
      </c>
      <c r="O347" s="93">
        <f t="shared" ca="1" si="156"/>
        <v>59.075829572431061</v>
      </c>
      <c r="P347" s="93">
        <f t="shared" ca="1" si="157"/>
        <v>75.64650504409407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1099640</v>
      </c>
      <c r="N348" s="497">
        <f t="shared" ca="1" si="159"/>
        <v>808021.51</v>
      </c>
      <c r="O348" s="497">
        <f t="shared" ca="1" si="156"/>
        <v>56.287722219126174</v>
      </c>
      <c r="P348" s="497">
        <f t="shared" ca="1" si="157"/>
        <v>73.480549088792699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IFERROR(__xludf.DUMMYFUNCTION("IMPORTRANGE(""https://docs.google.com/spreadsheets/d/1MeEWN-I1oV_STSDYn1IFDPWt_1FKiwhDph83XaGc0o0/edit?usp=sharing"",""งบพรบ!FB69"")"),1099640)</f>
        <v>1099640</v>
      </c>
      <c r="N350" s="93">
        <f ca="1">IFERROR(__xludf.DUMMYFUNCTION("IMPORTRANGE(""https://docs.google.com/spreadsheets/d/1MeEWN-I1oV_STSDYn1IFDPWt_1FKiwhDph83XaGc0o0/edit?usp=sharing"",""งบพรบ!FD69"")"),808021.51)</f>
        <v>808021.51</v>
      </c>
      <c r="O350" s="93">
        <f t="shared" ca="1" si="156"/>
        <v>56.287722219126174</v>
      </c>
      <c r="P350" s="93">
        <f t="shared" ca="1" si="157"/>
        <v>73.480549088792699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176</v>
      </c>
      <c r="K355" s="465">
        <f ca="1">IF(I355&gt;0,J355*100/I355,0)</f>
        <v>30.87719298245614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IFERROR(__xludf.DUMMYFUNCTION("IMPORTRANGE(""https://docs.google.com/spreadsheets/d/1XWAQStnk-4SwqDmLtmXYiTMKHgktTP8We1SCoS47DrQ/edit?usp=sharing"",""จัดที่ดิน!W69"")"),305)</f>
        <v>305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IFERROR(__xludf.DUMMYFUNCTION("IMPORTRANGE(""https://docs.google.com/spreadsheets/d/1XWAQStnk-4SwqDmLtmXYiTMKHgktTP8We1SCoS47DrQ/edit?usp=sharing"",""จัดที่ดิน!X69"")"),4900.62)</f>
        <v>4900.62</v>
      </c>
      <c r="K359" s="497">
        <f t="shared" ca="1" si="161"/>
        <v>57.654352941176469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IFERROR(__xludf.DUMMYFUNCTION("IMPORTRANGE(""https://docs.google.com/spreadsheets/d/1XWAQStnk-4SwqDmLtmXYiTMKHgktTP8We1SCoS47DrQ/edit?usp=sharing"",""จัดที่ดิน!Y69"")"),383)</f>
        <v>383</v>
      </c>
      <c r="K360" s="497">
        <f t="shared" ca="1" si="161"/>
        <v>67.192982456140356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IFERROR(__xludf.DUMMYFUNCTION("IMPORTRANGE(""https://docs.google.com/spreadsheets/d/1XWAQStnk-4SwqDmLtmXYiTMKHgktTP8We1SCoS47DrQ/edit?usp=sharing"",""จัดที่ดิน!Z69"")"),5785.48)</f>
        <v>5785.48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IFERROR(__xludf.DUMMYFUNCTION("IMPORTRANGE(""https://docs.google.com/spreadsheets/d/1XWAQStnk-4SwqDmLtmXYiTMKHgktTP8We1SCoS47DrQ/edit?usp=sharing"",""จัดที่ดิน!AA69"")"),176)</f>
        <v>176</v>
      </c>
      <c r="K362" s="497">
        <f t="shared" ca="1" si="161"/>
        <v>30.87719298245614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IFERROR(__xludf.DUMMYFUNCTION("IMPORTRANGE(""https://docs.google.com/spreadsheets/d/1XWAQStnk-4SwqDmLtmXYiTMKHgktTP8We1SCoS47DrQ/edit?usp=sharing"",""จัดที่ดิน!AB69"")"),3015.68)</f>
        <v>3015.68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663</v>
      </c>
      <c r="K364" s="479">
        <f t="shared" ca="1" si="161"/>
        <v>86.103896103896105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126</v>
      </c>
      <c r="K365" s="491">
        <f t="shared" ca="1" si="161"/>
        <v>63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IFERROR(__xludf.DUMMYFUNCTION("IMPORTRANGE(""https://docs.google.com/spreadsheets/d/1XWAQStnk-4SwqDmLtmXYiTMKHgktTP8We1SCoS47DrQ/edit?usp=sharing"",""จัดที่ดิน!E69"")"),67)</f>
        <v>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IFERROR(__xludf.DUMMYFUNCTION("IMPORTRANGE(""https://docs.google.com/spreadsheets/d/1XWAQStnk-4SwqDmLtmXYiTMKHgktTP8We1SCoS47DrQ/edit?usp=sharing"",""จัดที่ดิน!F69"")"),2240.39)</f>
        <v>2240.39</v>
      </c>
      <c r="K369" s="497">
        <f t="shared" ca="1" si="163"/>
        <v>74.679666666666662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IFERROR(__xludf.DUMMYFUNCTION("IMPORTRANGE(""https://docs.google.com/spreadsheets/d/1XWAQStnk-4SwqDmLtmXYiTMKHgktTP8We1SCoS47DrQ/edit?usp=sharing"",""จัดที่ดิน!G69"")"),145)</f>
        <v>145</v>
      </c>
      <c r="K370" s="497">
        <f t="shared" ca="1" si="163"/>
        <v>72.5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IFERROR(__xludf.DUMMYFUNCTION("IMPORTRANGE(""https://docs.google.com/spreadsheets/d/1XWAQStnk-4SwqDmLtmXYiTMKHgktTP8We1SCoS47DrQ/edit?usp=sharing"",""จัดที่ดิน!H69"")"),3121.39)</f>
        <v>3121.39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IFERROR(__xludf.DUMMYFUNCTION("IMPORTRANGE(""https://docs.google.com/spreadsheets/d/1XWAQStnk-4SwqDmLtmXYiTMKHgktTP8We1SCoS47DrQ/edit?usp=sharing"",""จัดที่ดิน!I69"")"),126)</f>
        <v>126</v>
      </c>
      <c r="K372" s="497">
        <f t="shared" ca="1" si="163"/>
        <v>63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IFERROR(__xludf.DUMMYFUNCTION("IMPORTRANGE(""https://docs.google.com/spreadsheets/d/1XWAQStnk-4SwqDmLtmXYiTMKHgktTP8We1SCoS47DrQ/edit?usp=sharing"",""จัดที่ดิน!J69"")"),2477.02)</f>
        <v>2477.02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537</v>
      </c>
      <c r="K374" s="491">
        <f t="shared" ca="1" si="163"/>
        <v>94.21052631578948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IFERROR(__xludf.DUMMYFUNCTION("IMPORTRANGE(""https://docs.google.com/spreadsheets/d/1XWAQStnk-4SwqDmLtmXYiTMKHgktTP8We1SCoS47DrQ/edit?usp=sharing"",""จัดที่ดิน!AH69"")"),238)</f>
        <v>238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IFERROR(__xludf.DUMMYFUNCTION("IMPORTRANGE(""https://docs.google.com/spreadsheets/d/1XWAQStnk-4SwqDmLtmXYiTMKHgktTP8We1SCoS47DrQ/edit?usp=sharing"",""จัดที่ดิน!AI69"")"),2660.23)</f>
        <v>2660.23</v>
      </c>
      <c r="K378" s="497">
        <f t="shared" ca="1" si="164"/>
        <v>48.36781818181818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IFERROR(__xludf.DUMMYFUNCTION("IMPORTRANGE(""https://docs.google.com/spreadsheets/d/1XWAQStnk-4SwqDmLtmXYiTMKHgktTP8We1SCoS47DrQ/edit?usp=sharing"",""จัดที่ดิน!AJ69"")"),737)</f>
        <v>737</v>
      </c>
      <c r="K379" s="497">
        <f t="shared" ca="1" si="164"/>
        <v>129.2982456140351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IFERROR(__xludf.DUMMYFUNCTION("IMPORTRANGE(""https://docs.google.com/spreadsheets/d/1XWAQStnk-4SwqDmLtmXYiTMKHgktTP8We1SCoS47DrQ/edit?usp=sharing"",""จัดที่ดิน!AK69"")"),11486.83)</f>
        <v>11486.83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IFERROR(__xludf.DUMMYFUNCTION("IMPORTRANGE(""https://docs.google.com/spreadsheets/d/1XWAQStnk-4SwqDmLtmXYiTMKHgktTP8We1SCoS47DrQ/edit?usp=sharing"",""จัดที่ดิน!AL69"")"),537)</f>
        <v>537</v>
      </c>
      <c r="K381" s="497">
        <f t="shared" ca="1" si="164"/>
        <v>94.21052631578948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IFERROR(__xludf.DUMMYFUNCTION("IMPORTRANGE(""https://docs.google.com/spreadsheets/d/1XWAQStnk-4SwqDmLtmXYiTMKHgktTP8We1SCoS47DrQ/edit?usp=sharing"",""จัดที่ดิน!AM69"")"),9116.8)</f>
        <v>9116.7999999999993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378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2240997</v>
      </c>
      <c r="M414" s="549">
        <f t="shared" ca="1" si="181"/>
        <v>2240997</v>
      </c>
      <c r="N414" s="549">
        <f t="shared" si="181"/>
        <v>872267.28999999992</v>
      </c>
      <c r="O414" s="549">
        <f ca="1">IF(L414&gt;0,N414*100/L414,0)</f>
        <v>38.923179727594452</v>
      </c>
      <c r="P414" s="549">
        <f ca="1">IF(M414&gt;0,N414*100/M414,0)</f>
        <v>38.923179727594452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64240</v>
      </c>
      <c r="O419" s="155">
        <f t="shared" ref="O419:O424" ca="1" si="185">IF(L419&gt;0,N419*100/L419,0)</f>
        <v>81.667937960844142</v>
      </c>
      <c r="P419" s="155">
        <f t="shared" ref="P419:P424" ca="1" si="186">IF(M419&gt;0,N419*100/M419,0)</f>
        <v>81.667937960844142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64240</v>
      </c>
      <c r="O421" s="93">
        <f t="shared" ca="1" si="185"/>
        <v>81.667937960844142</v>
      </c>
      <c r="P421" s="93">
        <f t="shared" ca="1" si="186"/>
        <v>81.667937960844142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64240</v>
      </c>
      <c r="O422" s="497">
        <f t="shared" ca="1" si="185"/>
        <v>81.667937960844142</v>
      </c>
      <c r="P422" s="497">
        <f t="shared" ca="1" si="186"/>
        <v>81.667937960844142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64240</v>
      </c>
      <c r="O424" s="93">
        <f t="shared" ca="1" si="185"/>
        <v>81.667937960844142</v>
      </c>
      <c r="P424" s="93">
        <f t="shared" ca="1" si="186"/>
        <v>81.667937960844142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50020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87833</v>
      </c>
      <c r="O467" s="195">
        <f t="shared" ref="O467:O472" ca="1" si="207">IF(L467&gt;0,N467*100/L467,0)</f>
        <v>21.44606436773751</v>
      </c>
      <c r="P467" s="195">
        <f t="shared" ref="P467:P472" ca="1" si="208">IF(M467&gt;0,N467*100/M467,0)</f>
        <v>21.44606436773751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87833</v>
      </c>
      <c r="O469" s="93">
        <f t="shared" ca="1" si="207"/>
        <v>21.44606436773751</v>
      </c>
      <c r="P469" s="93">
        <f t="shared" ca="1" si="208"/>
        <v>21.44606436773751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87833</v>
      </c>
      <c r="O470" s="497">
        <f t="shared" ca="1" si="207"/>
        <v>21.44606436773751</v>
      </c>
      <c r="P470" s="497">
        <f t="shared" ca="1" si="208"/>
        <v>21.44606436773751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87833</v>
      </c>
      <c r="O472" s="93">
        <f t="shared" ca="1" si="207"/>
        <v>21.44606436773751</v>
      </c>
      <c r="P472" s="93">
        <f t="shared" ca="1" si="208"/>
        <v>21.44606436773751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71453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16380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136160</v>
      </c>
      <c r="O523" s="195">
        <f t="shared" ref="O523:O528" ca="1" si="227">IF(L523&gt;0,N523*100/L523,0)</f>
        <v>31.853272820848733</v>
      </c>
      <c r="P523" s="195">
        <f t="shared" ref="P523:P528" ca="1" si="228">IF(M523&gt;0,N523*100/M523,0)</f>
        <v>31.853272820848733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136160</v>
      </c>
      <c r="O525" s="93">
        <f t="shared" ca="1" si="227"/>
        <v>31.853272820848733</v>
      </c>
      <c r="P525" s="93">
        <f t="shared" ca="1" si="228"/>
        <v>31.853272820848733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136160</v>
      </c>
      <c r="O526" s="497">
        <f t="shared" ca="1" si="227"/>
        <v>31.853272820848733</v>
      </c>
      <c r="P526" s="497">
        <f t="shared" ca="1" si="228"/>
        <v>31.853272820848733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136160</v>
      </c>
      <c r="O528" s="93">
        <f t="shared" ca="1" si="227"/>
        <v>31.853272820848733</v>
      </c>
      <c r="P528" s="93">
        <f t="shared" ca="1" si="228"/>
        <v>31.853272820848733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119970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16190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ca="1" si="236"/>
        <v>612784</v>
      </c>
      <c r="N544" s="155">
        <f t="shared" si="236"/>
        <v>339065.71</v>
      </c>
      <c r="O544" s="155">
        <f t="shared" ref="O544:O549" ca="1" si="237">IF(L544&gt;0,N544*100/L544,0)</f>
        <v>55.332010953288595</v>
      </c>
      <c r="P544" s="155">
        <f t="shared" ref="P544:P549" ca="1" si="238">IF(M544&gt;0,N544*100/M544,0)</f>
        <v>55.332010953288595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612784</v>
      </c>
      <c r="M546" s="93">
        <f t="shared" ca="1" si="240"/>
        <v>612784</v>
      </c>
      <c r="N546" s="93">
        <f t="shared" si="240"/>
        <v>339065.71</v>
      </c>
      <c r="O546" s="93">
        <f t="shared" ca="1" si="237"/>
        <v>55.332010953288595</v>
      </c>
      <c r="P546" s="93">
        <f t="shared" ca="1" si="238"/>
        <v>55.332010953288595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ca="1" si="241"/>
        <v>612784</v>
      </c>
      <c r="N547" s="497">
        <f t="shared" si="241"/>
        <v>339065.71</v>
      </c>
      <c r="O547" s="497">
        <f t="shared" ca="1" si="237"/>
        <v>55.332010953288595</v>
      </c>
      <c r="P547" s="497">
        <f t="shared" ca="1" si="238"/>
        <v>55.332010953288595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f ca="1">L549</f>
        <v>612784</v>
      </c>
      <c r="N549" s="93">
        <f>N550+N551+N552+N553+N554</f>
        <v>339065.71</v>
      </c>
      <c r="O549" s="93">
        <f t="shared" ca="1" si="237"/>
        <v>55.332010953288595</v>
      </c>
      <c r="P549" s="93">
        <f t="shared" ca="1" si="238"/>
        <v>55.332010953288595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76700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262365.71000000002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364940</v>
      </c>
      <c r="N629" s="195">
        <f t="shared" si="263"/>
        <v>130035.25</v>
      </c>
      <c r="O629" s="195">
        <f t="shared" ref="O629:O634" ca="1" si="264">IF(L629&gt;0,N629*100/L629,0)</f>
        <v>35.63195319778594</v>
      </c>
      <c r="P629" s="195">
        <f t="shared" ref="P629:P634" ca="1" si="265">IF(M629&gt;0,N629*100/M629,0)</f>
        <v>35.63195319778594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364940</v>
      </c>
      <c r="N631" s="93">
        <f t="shared" si="266"/>
        <v>130035.25</v>
      </c>
      <c r="O631" s="93">
        <f t="shared" ca="1" si="264"/>
        <v>35.63195319778594</v>
      </c>
      <c r="P631" s="93">
        <f t="shared" ca="1" si="265"/>
        <v>35.63195319778594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364940</v>
      </c>
      <c r="N632" s="497">
        <f t="shared" si="267"/>
        <v>130035.25</v>
      </c>
      <c r="O632" s="497">
        <f t="shared" ca="1" si="264"/>
        <v>35.63195319778594</v>
      </c>
      <c r="P632" s="497">
        <f t="shared" ca="1" si="265"/>
        <v>35.63195319778594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</f>
        <v>364940</v>
      </c>
      <c r="N634" s="93">
        <f>N635+N636+N637+N638</f>
        <v>130035.25</v>
      </c>
      <c r="O634" s="93">
        <f t="shared" ca="1" si="264"/>
        <v>35.63195319778594</v>
      </c>
      <c r="P634" s="93">
        <f t="shared" ca="1" si="265"/>
        <v>35.63195319778594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74589.25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55446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71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111933.33</v>
      </c>
      <c r="O786" s="195">
        <f t="shared" ref="O786:O791" ca="1" si="320">IF(L786&gt;0,N786*100/L786,0)</f>
        <v>33.392998210023869</v>
      </c>
      <c r="P786" s="195">
        <f t="shared" ref="P786:P791" ca="1" si="321">IF(M786&gt;0,N786*100/M786,0)</f>
        <v>33.392998210023869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111933.33</v>
      </c>
      <c r="O788" s="93">
        <f t="shared" ca="1" si="320"/>
        <v>33.392998210023869</v>
      </c>
      <c r="P788" s="93">
        <f t="shared" ca="1" si="321"/>
        <v>33.392998210023869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111933.33</v>
      </c>
      <c r="O789" s="497">
        <f t="shared" ca="1" si="320"/>
        <v>33.392998210023869</v>
      </c>
      <c r="P789" s="497">
        <f t="shared" ca="1" si="321"/>
        <v>33.392998210023869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111933.33</v>
      </c>
      <c r="O791" s="93">
        <f t="shared" ca="1" si="320"/>
        <v>33.392998210023869</v>
      </c>
      <c r="P791" s="93">
        <f t="shared" ca="1" si="321"/>
        <v>33.392998210023869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77133.33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34800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IFERROR(__xludf.DUMMYFUNCTION("IMPORTRANGE(""https://docs.google.com/spreadsheets/d/19vJNZY_5yjcGF2XGBMNZRCAIB0Kwfpjp8YEOfu-bneM/edit?usp=sharing"",""งานกองทุน!F69"")"),6140608.94)</f>
        <v>6140608.9400000004</v>
      </c>
      <c r="K821" s="497">
        <f t="shared" ref="K821:K828" ca="1" si="336">IF(I821&gt;0,J821*100/I821,0)</f>
        <v>64.244491803191181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IFERROR(__xludf.DUMMYFUNCTION("IMPORTRANGE(""https://docs.google.com/spreadsheets/d/19vJNZY_5yjcGF2XGBMNZRCAIB0Kwfpjp8YEOfu-bneM/edit?usp=sharing"",""งานกองทุน!E69"")"),367)</f>
        <v>367</v>
      </c>
      <c r="K822" s="497">
        <f t="shared" ca="1" si="336"/>
        <v>61.166666666666664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IFERROR(__xludf.DUMMYFUNCTION("IMPORTRANGE(""https://docs.google.com/spreadsheets/d/19vJNZY_5yjcGF2XGBMNZRCAIB0Kwfpjp8YEOfu-bneM/edit?usp=sharing"",""งานกองทุน!K69"")"),1021469.39)</f>
        <v>1021469.39</v>
      </c>
      <c r="K823" s="497">
        <f t="shared" ca="1" si="336"/>
        <v>24.822741059166997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IFERROR(__xludf.DUMMYFUNCTION("IMPORTRANGE(""https://docs.google.com/spreadsheets/d/19vJNZY_5yjcGF2XGBMNZRCAIB0Kwfpjp8YEOfu-bneM/edit?usp=sharing"",""งานกองทุน!J69"")"),127)</f>
        <v>127</v>
      </c>
      <c r="K824" s="497">
        <f t="shared" ca="1" si="336"/>
        <v>77.914110429447859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IFERROR(__xludf.DUMMYFUNCTION("IMPORTRANGE(""https://docs.google.com/spreadsheets/d/19vJNZY_5yjcGF2XGBMNZRCAIB0Kwfpjp8YEOfu-bneM/edit?usp=sharing"",""งานกองทุน!P69"")"),24484.28)</f>
        <v>24484.28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IFERROR(__xludf.DUMMYFUNCTION("IMPORTRANGE(""https://docs.google.com/spreadsheets/d/19vJNZY_5yjcGF2XGBMNZRCAIB0Kwfpjp8YEOfu-bneM/edit?usp=sharing"",""งานกองทุน!U69"")"),10930000)</f>
        <v>10930000</v>
      </c>
      <c r="K827" s="497">
        <f t="shared" ca="1" si="336"/>
        <v>109.3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IFERROR(__xludf.DUMMYFUNCTION("IMPORTRANGE(""https://docs.google.com/spreadsheets/d/19vJNZY_5yjcGF2XGBMNZRCAIB0Kwfpjp8YEOfu-bneM/edit?usp=sharing"",""งานกองทุน!T69"")"),253)</f>
        <v>253</v>
      </c>
      <c r="K828" s="502">
        <f t="shared" ca="1" si="336"/>
        <v>83.774834437086099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75030-5CE1-4EBF-B3F4-1DBFF3CF480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379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3586597</v>
      </c>
      <c r="N8" s="22">
        <f t="shared" ca="1" si="0"/>
        <v>2460192.1100000003</v>
      </c>
      <c r="O8" s="22">
        <f t="shared" ref="O8:O16" ca="1" si="1">IF(L8&gt;0,N8*100/L8,0)</f>
        <v>59.884697125150467</v>
      </c>
      <c r="P8" s="22">
        <f t="shared" ref="P8:P16" ca="1" si="2">IF(M8&gt;0,N8*100/M8,0)</f>
        <v>68.594049178092774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3586597</v>
      </c>
      <c r="N10" s="30">
        <f t="shared" ca="1" si="3"/>
        <v>2460192.1100000003</v>
      </c>
      <c r="O10" s="30">
        <f t="shared" ca="1" si="1"/>
        <v>59.884697125150467</v>
      </c>
      <c r="P10" s="30">
        <f t="shared" ca="1" si="2"/>
        <v>68.594049178092774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3472797</v>
      </c>
      <c r="N11" s="497">
        <f t="shared" ca="1" si="4"/>
        <v>2346392.1100000003</v>
      </c>
      <c r="O11" s="497">
        <f t="shared" ca="1" si="1"/>
        <v>58.741821017595825</v>
      </c>
      <c r="P11" s="497">
        <f t="shared" ca="1" si="2"/>
        <v>67.56490834333249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3472797</v>
      </c>
      <c r="N13" s="93">
        <f t="shared" ca="1" si="5"/>
        <v>2346392.1100000003</v>
      </c>
      <c r="O13" s="93">
        <f t="shared" ca="1" si="1"/>
        <v>58.741821017595825</v>
      </c>
      <c r="P13" s="93">
        <f t="shared" ca="1" si="2"/>
        <v>67.56490834333249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2401534</v>
      </c>
      <c r="N18" s="22">
        <f t="shared" ca="1" si="8"/>
        <v>1893342.06</v>
      </c>
      <c r="O18" s="22">
        <f t="shared" ref="O18:O26" ca="1" si="9">IF(L18&gt;0,N18*100/L18,0)</f>
        <v>64.995937543769074</v>
      </c>
      <c r="P18" s="22">
        <f t="shared" ref="P18:P26" ca="1" si="10">IF(M18&gt;0,N18*100/M18,0)</f>
        <v>78.838861327801311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2401534</v>
      </c>
      <c r="N20" s="30">
        <f t="shared" ca="1" si="11"/>
        <v>1893342.06</v>
      </c>
      <c r="O20" s="30">
        <f t="shared" ca="1" si="9"/>
        <v>64.995937543769074</v>
      </c>
      <c r="P20" s="30">
        <f t="shared" ca="1" si="10"/>
        <v>78.838861327801311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2287734</v>
      </c>
      <c r="N21" s="497">
        <f t="shared" ca="1" si="12"/>
        <v>1779542.06</v>
      </c>
      <c r="O21" s="497">
        <f t="shared" ca="1" si="9"/>
        <v>63.572873976141892</v>
      </c>
      <c r="P21" s="497">
        <f t="shared" ca="1" si="10"/>
        <v>77.786231266397223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2287734</v>
      </c>
      <c r="N23" s="93">
        <f t="shared" ca="1" si="13"/>
        <v>1779542.06</v>
      </c>
      <c r="O23" s="93">
        <f t="shared" ca="1" si="9"/>
        <v>63.572873976141892</v>
      </c>
      <c r="P23" s="93">
        <f t="shared" ca="1" si="10"/>
        <v>77.786231266397223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566850.05000000005</v>
      </c>
      <c r="O28" s="22">
        <f t="shared" ref="O28:O37" ca="1" si="17">IF(L28&gt;0,N28*100/L28,0)</f>
        <v>47.427252700177966</v>
      </c>
      <c r="P28" s="22">
        <f t="shared" ref="P28:P37" ca="1" si="18">IF(M28&gt;0,N28*100/M28,0)</f>
        <v>47.83290424222173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566850.05000000005</v>
      </c>
      <c r="O30" s="30">
        <f t="shared" ca="1" si="17"/>
        <v>47.427252700177966</v>
      </c>
      <c r="P30" s="30">
        <f t="shared" ca="1" si="18"/>
        <v>47.83290424222173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1185063</v>
      </c>
      <c r="N31" s="497">
        <f t="shared" si="20"/>
        <v>566850.05000000005</v>
      </c>
      <c r="O31" s="497">
        <f t="shared" ca="1" si="17"/>
        <v>47.427252700177966</v>
      </c>
      <c r="P31" s="497">
        <f t="shared" ca="1" si="18"/>
        <v>47.83290424222173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1185063</v>
      </c>
      <c r="N33" s="93">
        <f t="shared" si="21"/>
        <v>566850.05000000005</v>
      </c>
      <c r="O33" s="93">
        <f t="shared" ca="1" si="17"/>
        <v>47.427252700177966</v>
      </c>
      <c r="P33" s="93">
        <f t="shared" ca="1" si="18"/>
        <v>47.83290424222173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2401534</v>
      </c>
      <c r="N37" s="59">
        <f t="shared" ca="1" si="24"/>
        <v>1893342.06</v>
      </c>
      <c r="O37" s="59">
        <f t="shared" ca="1" si="17"/>
        <v>64.995937543769074</v>
      </c>
      <c r="P37" s="59">
        <f t="shared" ca="1" si="18"/>
        <v>78.838861327801311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489159</v>
      </c>
      <c r="N41" s="85">
        <f t="shared" ca="1" si="25"/>
        <v>334824</v>
      </c>
      <c r="O41" s="85">
        <f t="shared" ref="O41:O49" ca="1" si="26">IF(L41&gt;0,N41*100/L41,0)</f>
        <v>70.504699976415893</v>
      </c>
      <c r="P41" s="85">
        <f t="shared" ref="P41:P49" ca="1" si="27">IF(M41&gt;0,N41*100/M41,0)</f>
        <v>68.448909250366441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489159</v>
      </c>
      <c r="N43" s="92">
        <f t="shared" ca="1" si="28"/>
        <v>334824</v>
      </c>
      <c r="O43" s="92">
        <f t="shared" ca="1" si="26"/>
        <v>70.504699976415893</v>
      </c>
      <c r="P43" s="92">
        <f t="shared" ca="1" si="27"/>
        <v>68.448909250366441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489159</v>
      </c>
      <c r="N44" s="497">
        <f t="shared" ca="1" si="29"/>
        <v>334824</v>
      </c>
      <c r="O44" s="497">
        <f t="shared" ca="1" si="26"/>
        <v>70.504699976415893</v>
      </c>
      <c r="P44" s="497">
        <f t="shared" ca="1" si="27"/>
        <v>68.448909250366441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IFERROR(__xludf.DUMMYFUNCTION("IMPORTRANGE(""https://docs.google.com/spreadsheets/d/1MeEWN-I1oV_STSDYn1IFDPWt_1FKiwhDph83XaGc0o0/edit?usp=sharing"",""งบพรบ!R70"")"),489159)</f>
        <v>489159</v>
      </c>
      <c r="N46" s="93">
        <f ca="1">IFERROR(__xludf.DUMMYFUNCTION("IMPORTRANGE(""https://docs.google.com/spreadsheets/d/1MeEWN-I1oV_STSDYn1IFDPWt_1FKiwhDph83XaGc0o0/edit?usp=sharing"",""งบพรบ!T70"")"),334824)</f>
        <v>334824</v>
      </c>
      <c r="O46" s="93">
        <f t="shared" ca="1" si="26"/>
        <v>70.504699976415893</v>
      </c>
      <c r="P46" s="93">
        <f t="shared" ca="1" si="27"/>
        <v>68.448909250366441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482250</v>
      </c>
      <c r="N53" s="116">
        <f t="shared" ca="1" si="31"/>
        <v>453654.09</v>
      </c>
      <c r="O53" s="116">
        <f t="shared" ref="O53:O61" ca="1" si="32">IF(L53&gt;0,N53*100/L53,0)</f>
        <v>70.552735614307934</v>
      </c>
      <c r="P53" s="116">
        <f t="shared" ref="P53:P61" ca="1" si="33">IF(M53&gt;0,N53*100/M53,0)</f>
        <v>94.070314152410575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482250</v>
      </c>
      <c r="N55" s="123">
        <f t="shared" ca="1" si="34"/>
        <v>453654.09</v>
      </c>
      <c r="O55" s="123">
        <f t="shared" ca="1" si="32"/>
        <v>70.552735614307934</v>
      </c>
      <c r="P55" s="123">
        <f t="shared" ca="1" si="33"/>
        <v>94.070314152410575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482250</v>
      </c>
      <c r="N56" s="497">
        <f t="shared" ca="1" si="35"/>
        <v>453654.09</v>
      </c>
      <c r="O56" s="497">
        <f t="shared" ca="1" si="32"/>
        <v>70.552735614307934</v>
      </c>
      <c r="P56" s="497">
        <f t="shared" ca="1" si="33"/>
        <v>94.070314152410575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IFERROR(__xludf.DUMMYFUNCTION("IMPORTRANGE(""https://docs.google.com/spreadsheets/d/1MeEWN-I1oV_STSDYn1IFDPWt_1FKiwhDph83XaGc0o0/edit?usp=sharing"",""งบพรบ!AB70"")"),482250)</f>
        <v>482250</v>
      </c>
      <c r="N58" s="93">
        <f ca="1">IFERROR(__xludf.DUMMYFUNCTION("IMPORTRANGE(""https://docs.google.com/spreadsheets/d/1MeEWN-I1oV_STSDYn1IFDPWt_1FKiwhDph83XaGc0o0/edit?usp=sharing"",""งบพรบ!AD70"")"),453654.09)</f>
        <v>453654.09</v>
      </c>
      <c r="O58" s="93">
        <f t="shared" ca="1" si="32"/>
        <v>70.552735614307934</v>
      </c>
      <c r="P58" s="93">
        <f t="shared" ca="1" si="33"/>
        <v>94.070314152410575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62310</v>
      </c>
      <c r="N88" s="155">
        <f t="shared" ca="1" si="49"/>
        <v>46755.6</v>
      </c>
      <c r="O88" s="155">
        <f t="shared" ref="O88:O96" ca="1" si="50">IF(L88&gt;0,N88*100/L88,0)</f>
        <v>68.09729099912613</v>
      </c>
      <c r="P88" s="155">
        <f t="shared" ref="P88:P96" ca="1" si="51">IF(M88&gt;0,N88*100/M88,0)</f>
        <v>75.03707270101107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62310</v>
      </c>
      <c r="N90" s="93">
        <f t="shared" ca="1" si="52"/>
        <v>46755.6</v>
      </c>
      <c r="O90" s="93">
        <f t="shared" ca="1" si="50"/>
        <v>68.09729099912613</v>
      </c>
      <c r="P90" s="93">
        <f t="shared" ca="1" si="51"/>
        <v>75.03707270101107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62310</v>
      </c>
      <c r="N91" s="497">
        <f t="shared" ca="1" si="53"/>
        <v>46755.6</v>
      </c>
      <c r="O91" s="497">
        <f t="shared" ca="1" si="50"/>
        <v>68.09729099912613</v>
      </c>
      <c r="P91" s="497">
        <f t="shared" ca="1" si="51"/>
        <v>75.03707270101107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IFERROR(__xludf.DUMMYFUNCTION("IMPORTRANGE(""https://docs.google.com/spreadsheets/d/1MeEWN-I1oV_STSDYn1IFDPWt_1FKiwhDph83XaGc0o0/edit?usp=sharing"",""งบพรบ!AV70"")"),62310)</f>
        <v>62310</v>
      </c>
      <c r="N93" s="93">
        <f ca="1">IFERROR(__xludf.DUMMYFUNCTION("IMPORTRANGE(""https://docs.google.com/spreadsheets/d/1MeEWN-I1oV_STSDYn1IFDPWt_1FKiwhDph83XaGc0o0/edit?usp=sharing"",""งบพรบ!AX70"")"),46755.6)</f>
        <v>46755.6</v>
      </c>
      <c r="O93" s="93">
        <f t="shared" ca="1" si="50"/>
        <v>68.09729099912613</v>
      </c>
      <c r="P93" s="93">
        <f t="shared" ca="1" si="51"/>
        <v>75.03707270101107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8106</v>
      </c>
      <c r="O149" s="155">
        <f t="shared" ref="O149:O157" ca="1" si="78">IF(L149&gt;0,N149*100/L149,0)</f>
        <v>108.08</v>
      </c>
      <c r="P149" s="155">
        <f t="shared" ref="P149:P157" ca="1" si="79">IF(M149&gt;0,N149*100/M149,0)</f>
        <v>93.172413793103445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8106</v>
      </c>
      <c r="O151" s="93">
        <f t="shared" ca="1" si="78"/>
        <v>108.08</v>
      </c>
      <c r="P151" s="93">
        <f t="shared" ca="1" si="79"/>
        <v>93.172413793103445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8106</v>
      </c>
      <c r="O152" s="497">
        <f t="shared" ca="1" si="78"/>
        <v>108.08</v>
      </c>
      <c r="P152" s="497">
        <f t="shared" ca="1" si="79"/>
        <v>93.172413793103445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IFERROR(__xludf.DUMMYFUNCTION("IMPORTRANGE(""https://docs.google.com/spreadsheets/d/1MeEWN-I1oV_STSDYn1IFDPWt_1FKiwhDph83XaGc0o0/edit?usp=sharing"",""งบพรบ!CB70"")"),8106)</f>
        <v>8106</v>
      </c>
      <c r="O154" s="93">
        <f t="shared" ca="1" si="78"/>
        <v>108.08</v>
      </c>
      <c r="P154" s="93">
        <f t="shared" ca="1" si="79"/>
        <v>93.172413793103445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1643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36260</v>
      </c>
      <c r="N165" s="155">
        <f t="shared" ca="1" si="84"/>
        <v>33467.56</v>
      </c>
      <c r="O165" s="155">
        <f t="shared" ref="O165:O173" ca="1" si="85">IF(L165&gt;0,N165*100/L165,0)</f>
        <v>145.13252385082393</v>
      </c>
      <c r="P165" s="155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36260</v>
      </c>
      <c r="N167" s="93">
        <f t="shared" ca="1" si="87"/>
        <v>33467.56</v>
      </c>
      <c r="O167" s="93">
        <f t="shared" ca="1" si="85"/>
        <v>145.13252385082393</v>
      </c>
      <c r="P167" s="93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36260</v>
      </c>
      <c r="N168" s="497">
        <f t="shared" ca="1" si="88"/>
        <v>33467.56</v>
      </c>
      <c r="O168" s="497">
        <f t="shared" ca="1" si="85"/>
        <v>145.13252385082393</v>
      </c>
      <c r="P168" s="497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IFERROR(__xludf.DUMMYFUNCTION("IMPORTRANGE(""https://docs.google.com/spreadsheets/d/1MeEWN-I1oV_STSDYn1IFDPWt_1FKiwhDph83XaGc0o0/edit?usp=sharing"",""งบพรบ!CJ70"")"),36260)</f>
        <v>36260</v>
      </c>
      <c r="N170" s="93">
        <f ca="1">IFERROR(__xludf.DUMMYFUNCTION("IMPORTRANGE(""https://docs.google.com/spreadsheets/d/1MeEWN-I1oV_STSDYn1IFDPWt_1FKiwhDph83XaGc0o0/edit?usp=sharing"",""งบพรบ!CL70"")"),33467.56)</f>
        <v>33467.56</v>
      </c>
      <c r="O170" s="93">
        <f t="shared" ca="1" si="85"/>
        <v>145.13252385082393</v>
      </c>
      <c r="P170" s="93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165400</v>
      </c>
      <c r="N181" s="155">
        <f t="shared" ca="1" si="92"/>
        <v>140462.56</v>
      </c>
      <c r="O181" s="155">
        <f t="shared" ref="O181:O189" ca="1" si="93">IF(L181&gt;0,N181*100/L181,0)</f>
        <v>67.465206532180602</v>
      </c>
      <c r="P181" s="155">
        <f t="shared" ref="P181:P189" ca="1" si="94">IF(M181&gt;0,N181*100/M181,0)</f>
        <v>84.922950423216449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165400</v>
      </c>
      <c r="N183" s="93">
        <f t="shared" ca="1" si="95"/>
        <v>140462.56</v>
      </c>
      <c r="O183" s="93">
        <f t="shared" ca="1" si="93"/>
        <v>67.465206532180602</v>
      </c>
      <c r="P183" s="93">
        <f t="shared" ca="1" si="94"/>
        <v>84.922950423216449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165400</v>
      </c>
      <c r="N184" s="497">
        <f t="shared" ca="1" si="96"/>
        <v>140462.56</v>
      </c>
      <c r="O184" s="497">
        <f t="shared" ca="1" si="93"/>
        <v>67.465206532180602</v>
      </c>
      <c r="P184" s="497">
        <f t="shared" ca="1" si="94"/>
        <v>84.922950423216449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IFERROR(__xludf.DUMMYFUNCTION("IMPORTRANGE(""https://docs.google.com/spreadsheets/d/1MeEWN-I1oV_STSDYn1IFDPWt_1FKiwhDph83XaGc0o0/edit?usp=sharing"",""งบพรบ!CT70"")"),165400)</f>
        <v>165400</v>
      </c>
      <c r="N186" s="93">
        <f ca="1">IFERROR(__xludf.DUMMYFUNCTION("IMPORTRANGE(""https://docs.google.com/spreadsheets/d/1MeEWN-I1oV_STSDYn1IFDPWt_1FKiwhDph83XaGc0o0/edit?usp=sharing"",""งบพรบ!CV70"")"),140462.56)</f>
        <v>140462.56</v>
      </c>
      <c r="O186" s="93">
        <f t="shared" ca="1" si="93"/>
        <v>67.465206532180602</v>
      </c>
      <c r="P186" s="93">
        <f t="shared" ca="1" si="94"/>
        <v>84.922950423216449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25120</v>
      </c>
      <c r="O198" s="155">
        <f ca="1">IF(L198&gt;0,N198*100/L198,0)</f>
        <v>64.410256410256409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1140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579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10540</v>
      </c>
      <c r="O217" s="155">
        <f ca="1">IF(L217&gt;0,N217*100/L217,0)</f>
        <v>58.555555555555557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1920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8620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960</v>
      </c>
      <c r="O261" s="155">
        <f t="shared" ref="O261:O269" ca="1" si="116">IF(L261&gt;0,N261*100/L261,0)</f>
        <v>3.5687732342007434</v>
      </c>
      <c r="P261" s="155">
        <f t="shared" ref="P261:P269" ca="1" si="117">IF(M261&gt;0,N261*100/M261,0)</f>
        <v>4.01673640167364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960</v>
      </c>
      <c r="O263" s="93">
        <f t="shared" ca="1" si="116"/>
        <v>3.5687732342007434</v>
      </c>
      <c r="P263" s="93">
        <f t="shared" ca="1" si="117"/>
        <v>4.01673640167364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960</v>
      </c>
      <c r="O264" s="497">
        <f t="shared" ca="1" si="116"/>
        <v>3.5687732342007434</v>
      </c>
      <c r="P264" s="497">
        <f t="shared" ca="1" si="117"/>
        <v>4.01673640167364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IFERROR(__xludf.DUMMYFUNCTION("IMPORTRANGE(""https://docs.google.com/spreadsheets/d/1MeEWN-I1oV_STSDYn1IFDPWt_1FKiwhDph83XaGc0o0/edit?usp=sharing"",""งบพรบ!DD70"")"),23900)</f>
        <v>23900</v>
      </c>
      <c r="N266" s="93">
        <f ca="1">IFERROR(__xludf.DUMMYFUNCTION("IMPORTRANGE(""https://docs.google.com/spreadsheets/d/1MeEWN-I1oV_STSDYn1IFDPWt_1FKiwhDph83XaGc0o0/edit?usp=sharing"",""งบพรบ!DF70"")"),960)</f>
        <v>960</v>
      </c>
      <c r="O266" s="93">
        <f t="shared" ca="1" si="116"/>
        <v>3.5687732342007434</v>
      </c>
      <c r="P266" s="93">
        <f t="shared" ca="1" si="117"/>
        <v>4.01673640167364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182500</v>
      </c>
      <c r="N298" s="155">
        <f t="shared" ca="1" si="134"/>
        <v>154961</v>
      </c>
      <c r="O298" s="155">
        <f t="shared" ref="O298:O306" ca="1" si="135">IF(L298&gt;0,N298*100/L298,0)</f>
        <v>63.50860655737705</v>
      </c>
      <c r="P298" s="155">
        <f t="shared" ref="P298:P306" ca="1" si="136">IF(M298&gt;0,N298*100/M298,0)</f>
        <v>84.910136986301367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182500</v>
      </c>
      <c r="N300" s="93">
        <f t="shared" ca="1" si="137"/>
        <v>154961</v>
      </c>
      <c r="O300" s="93">
        <f t="shared" ca="1" si="135"/>
        <v>63.50860655737705</v>
      </c>
      <c r="P300" s="93">
        <f t="shared" ca="1" si="136"/>
        <v>84.910136986301367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182500</v>
      </c>
      <c r="N301" s="497">
        <f t="shared" ca="1" si="138"/>
        <v>154961</v>
      </c>
      <c r="O301" s="497">
        <f t="shared" ca="1" si="135"/>
        <v>63.50860655737705</v>
      </c>
      <c r="P301" s="497">
        <f t="shared" ca="1" si="136"/>
        <v>84.910136986301367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IFERROR(__xludf.DUMMYFUNCTION("IMPORTRANGE(""https://docs.google.com/spreadsheets/d/1MeEWN-I1oV_STSDYn1IFDPWt_1FKiwhDph83XaGc0o0/edit?usp=sharing"",""งบพรบ!DX70"")"),182500)</f>
        <v>182500</v>
      </c>
      <c r="N303" s="93">
        <f ca="1">IFERROR(__xludf.DUMMYFUNCTION("IMPORTRANGE(""https://docs.google.com/spreadsheets/d/1MeEWN-I1oV_STSDYn1IFDPWt_1FKiwhDph83XaGc0o0/edit?usp=sharing"",""งบพรบ!DZ70"")"),154961)</f>
        <v>154961</v>
      </c>
      <c r="O303" s="93">
        <f t="shared" ca="1" si="135"/>
        <v>63.50860655737705</v>
      </c>
      <c r="P303" s="93">
        <f t="shared" ca="1" si="136"/>
        <v>84.910136986301367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2003</v>
      </c>
      <c r="K327" s="445">
        <f ca="1">IF(I327&gt;0,J327*100/I327,0)</f>
        <v>133.53333333333333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322600</v>
      </c>
      <c r="N328" s="155">
        <f t="shared" ca="1" si="148"/>
        <v>251720.05</v>
      </c>
      <c r="O328" s="155">
        <f t="shared" ref="O328:O336" ca="1" si="149">IF(L328&gt;0,N328*100/L328,0)</f>
        <v>58.978455951265232</v>
      </c>
      <c r="P328" s="155">
        <f t="shared" ref="P328:P336" ca="1" si="150">IF(M328&gt;0,N328*100/M328,0)</f>
        <v>78.028533787972719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322600</v>
      </c>
      <c r="N330" s="93">
        <f t="shared" ca="1" si="151"/>
        <v>251720.05</v>
      </c>
      <c r="O330" s="93">
        <f t="shared" ca="1" si="149"/>
        <v>58.978455951265232</v>
      </c>
      <c r="P330" s="93">
        <f t="shared" ca="1" si="150"/>
        <v>78.028533787972719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322600</v>
      </c>
      <c r="N331" s="497">
        <f t="shared" ca="1" si="152"/>
        <v>251720.05</v>
      </c>
      <c r="O331" s="497">
        <f t="shared" ca="1" si="149"/>
        <v>58.978455951265232</v>
      </c>
      <c r="P331" s="497">
        <f t="shared" ca="1" si="150"/>
        <v>78.028533787972719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IFERROR(__xludf.DUMMYFUNCTION("IMPORTRANGE(""https://docs.google.com/spreadsheets/d/1MeEWN-I1oV_STSDYn1IFDPWt_1FKiwhDph83XaGc0o0/edit?usp=sharing"",""งบพรบ!ER70"")"),322600)</f>
        <v>322600</v>
      </c>
      <c r="N333" s="93">
        <f ca="1">IFERROR(__xludf.DUMMYFUNCTION("IMPORTRANGE(""https://docs.google.com/spreadsheets/d/1MeEWN-I1oV_STSDYn1IFDPWt_1FKiwhDph83XaGc0o0/edit?usp=sharing"",""งบพรบ!ET70"")"),251720.05)</f>
        <v>251720.05</v>
      </c>
      <c r="O333" s="93">
        <f t="shared" ca="1" si="149"/>
        <v>58.978455951265232</v>
      </c>
      <c r="P333" s="93">
        <f t="shared" ca="1" si="150"/>
        <v>78.028533787972719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IFERROR(__xludf.DUMMYFUNCTION("IMPORTRANGE(""https://docs.google.com/spreadsheets/d/1kVcqe37tkHyjCSG3S0O1AXqVkqjo8mSIZil3BcpIysc/edit?usp=sharing"",""ศูนย์!D70"")"),1667)</f>
        <v>1667</v>
      </c>
      <c r="K338" s="497">
        <f ca="1">IF(I338&gt;0,J338*100/I338,0)</f>
        <v>111.13333333333334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628455</v>
      </c>
      <c r="N345" s="155">
        <f t="shared" ca="1" si="154"/>
        <v>468431.2</v>
      </c>
      <c r="O345" s="155">
        <f t="shared" ref="O345:O353" ca="1" si="155">IF(L345&gt;0,N345*100/L345,0)</f>
        <v>59.295088607594934</v>
      </c>
      <c r="P345" s="155">
        <f t="shared" ref="P345:P353" ca="1" si="156">IF(M345&gt;0,N345*100/M345,0)</f>
        <v>74.536951730831959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628455</v>
      </c>
      <c r="N347" s="93">
        <f t="shared" ca="1" si="157"/>
        <v>468431.2</v>
      </c>
      <c r="O347" s="93">
        <f t="shared" ca="1" si="155"/>
        <v>59.295088607594934</v>
      </c>
      <c r="P347" s="93">
        <f t="shared" ca="1" si="156"/>
        <v>74.536951730831959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514655</v>
      </c>
      <c r="N348" s="497">
        <f t="shared" ca="1" si="158"/>
        <v>354631.2</v>
      </c>
      <c r="O348" s="497">
        <f t="shared" ca="1" si="155"/>
        <v>52.444720496894412</v>
      </c>
      <c r="P348" s="497">
        <f t="shared" ca="1" si="156"/>
        <v>68.90658790840466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IFERROR(__xludf.DUMMYFUNCTION("IMPORTRANGE(""https://docs.google.com/spreadsheets/d/1MeEWN-I1oV_STSDYn1IFDPWt_1FKiwhDph83XaGc0o0/edit?usp=sharing"",""งบพรบ!FB70"")"),514655)</f>
        <v>514655</v>
      </c>
      <c r="N350" s="93">
        <f ca="1">IFERROR(__xludf.DUMMYFUNCTION("IMPORTRANGE(""https://docs.google.com/spreadsheets/d/1MeEWN-I1oV_STSDYn1IFDPWt_1FKiwhDph83XaGc0o0/edit?usp=sharing"",""งบพรบ!FD70"")"),354631.2)</f>
        <v>354631.2</v>
      </c>
      <c r="O350" s="93">
        <f t="shared" ca="1" si="155"/>
        <v>52.444720496894412</v>
      </c>
      <c r="P350" s="93">
        <f t="shared" ca="1" si="156"/>
        <v>68.90658790840466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28</v>
      </c>
      <c r="K355" s="465">
        <f ca="1">IF(I355&gt;0,J355*100/I355,0)</f>
        <v>10.447761194029852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IFERROR(__xludf.DUMMYFUNCTION("IMPORTRANGE(""https://docs.google.com/spreadsheets/d/1XWAQStnk-4SwqDmLtmXYiTMKHgktTP8We1SCoS47DrQ/edit?usp=sharing"",""จัดที่ดิน!W70"")"),56)</f>
        <v>56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IFERROR(__xludf.DUMMYFUNCTION("IMPORTRANGE(""https://docs.google.com/spreadsheets/d/1XWAQStnk-4SwqDmLtmXYiTMKHgktTP8We1SCoS47DrQ/edit?usp=sharing"",""จัดที่ดิน!X70"")"),255.61)</f>
        <v>255.61</v>
      </c>
      <c r="K359" s="497">
        <f t="shared" ca="1" si="160"/>
        <v>9.0066948555320643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IFERROR(__xludf.DUMMYFUNCTION("IMPORTRANGE(""https://docs.google.com/spreadsheets/d/1XWAQStnk-4SwqDmLtmXYiTMKHgktTP8We1SCoS47DrQ/edit?usp=sharing"",""จัดที่ดิน!Y70"")"),27)</f>
        <v>27</v>
      </c>
      <c r="K360" s="497">
        <f t="shared" ca="1" si="160"/>
        <v>10.074626865671641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IFERROR(__xludf.DUMMYFUNCTION("IMPORTRANGE(""https://docs.google.com/spreadsheets/d/1XWAQStnk-4SwqDmLtmXYiTMKHgktTP8We1SCoS47DrQ/edit?usp=sharing"",""จัดที่ดิน!Z70"")"),231.91)</f>
        <v>231.91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IFERROR(__xludf.DUMMYFUNCTION("IMPORTRANGE(""https://docs.google.com/spreadsheets/d/1XWAQStnk-4SwqDmLtmXYiTMKHgktTP8We1SCoS47DrQ/edit?usp=sharing"",""จัดที่ดิน!AA70"")"),28)</f>
        <v>28</v>
      </c>
      <c r="K362" s="497">
        <f t="shared" ca="1" si="160"/>
        <v>10.447761194029852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IFERROR(__xludf.DUMMYFUNCTION("IMPORTRANGE(""https://docs.google.com/spreadsheets/d/1XWAQStnk-4SwqDmLtmXYiTMKHgktTP8We1SCoS47DrQ/edit?usp=sharing"",""จัดที่ดิน!AB70"")"),240.63)</f>
        <v>240.63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179</v>
      </c>
      <c r="K364" s="479">
        <f t="shared" ca="1" si="160"/>
        <v>44.974874371859293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27</v>
      </c>
      <c r="K365" s="491">
        <f t="shared" ca="1" si="160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IFERROR(__xludf.DUMMYFUNCTION("IMPORTRANGE(""https://docs.google.com/spreadsheets/d/1XWAQStnk-4SwqDmLtmXYiTMKHgktTP8We1SCoS47DrQ/edit?usp=sharing"",""จัดที่ดิน!E70"")"),56)</f>
        <v>56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IFERROR(__xludf.DUMMYFUNCTION("IMPORTRANGE(""https://docs.google.com/spreadsheets/d/1XWAQStnk-4SwqDmLtmXYiTMKHgktTP8We1SCoS47DrQ/edit?usp=sharing"",""จัดที่ดิน!F70"")"),255.61)</f>
        <v>255.61</v>
      </c>
      <c r="K369" s="497">
        <f t="shared" ca="1" si="162"/>
        <v>51.122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IFERROR(__xludf.DUMMYFUNCTION("IMPORTRANGE(""https://docs.google.com/spreadsheets/d/1XWAQStnk-4SwqDmLtmXYiTMKHgktTP8We1SCoS47DrQ/edit?usp=sharing"",""จัดที่ดิน!G70"")"),27)</f>
        <v>27</v>
      </c>
      <c r="K370" s="497">
        <f t="shared" ca="1" si="162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IFERROR(__xludf.DUMMYFUNCTION("IMPORTRANGE(""https://docs.google.com/spreadsheets/d/1XWAQStnk-4SwqDmLtmXYiTMKHgktTP8We1SCoS47DrQ/edit?usp=sharing"",""จัดที่ดิน!H70"")"),231.91)</f>
        <v>231.91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IFERROR(__xludf.DUMMYFUNCTION("IMPORTRANGE(""https://docs.google.com/spreadsheets/d/1XWAQStnk-4SwqDmLtmXYiTMKHgktTP8We1SCoS47DrQ/edit?usp=sharing"",""จัดที่ดิน!I70"")"),27)</f>
        <v>27</v>
      </c>
      <c r="K372" s="497">
        <f t="shared" ca="1" si="162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IFERROR(__xludf.DUMMYFUNCTION("IMPORTRANGE(""https://docs.google.com/spreadsheets/d/1XWAQStnk-4SwqDmLtmXYiTMKHgktTP8We1SCoS47DrQ/edit?usp=sharing"",""จัดที่ดิน!J70"")"),231.91)</f>
        <v>231.91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152</v>
      </c>
      <c r="K374" s="491">
        <f t="shared" ca="1" si="162"/>
        <v>41.304347826086953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IFERROR(__xludf.DUMMYFUNCTION("IMPORTRANGE(""https://docs.google.com/spreadsheets/d/1XWAQStnk-4SwqDmLtmXYiTMKHgktTP8We1SCoS47DrQ/edit?usp=sharing"",""จัดที่ดิน!AJ70"")"),151)</f>
        <v>151</v>
      </c>
      <c r="K379" s="497">
        <f t="shared" ca="1" si="163"/>
        <v>41.032608695652172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IFERROR(__xludf.DUMMYFUNCTION("IMPORTRANGE(""https://docs.google.com/spreadsheets/d/1XWAQStnk-4SwqDmLtmXYiTMKHgktTP8We1SCoS47DrQ/edit?usp=sharing"",""จัดที่ดิน!AK70"")"),2328.18)</f>
        <v>2328.1799999999998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IFERROR(__xludf.DUMMYFUNCTION("IMPORTRANGE(""https://docs.google.com/spreadsheets/d/1XWAQStnk-4SwqDmLtmXYiTMKHgktTP8We1SCoS47DrQ/edit?usp=sharing"",""จัดที่ดิน!AL70"")"),152)</f>
        <v>152</v>
      </c>
      <c r="K381" s="497">
        <f t="shared" ca="1" si="163"/>
        <v>41.304347826086953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IFERROR(__xludf.DUMMYFUNCTION("IMPORTRANGE(""https://docs.google.com/spreadsheets/d/1XWAQStnk-4SwqDmLtmXYiTMKHgktTP8We1SCoS47DrQ/edit?usp=sharing"",""จัดที่ดิน!AM70"")"),2336.89999999999)</f>
        <v>2336.8999999999901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378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1185063</v>
      </c>
      <c r="N414" s="549">
        <f t="shared" si="180"/>
        <v>566850.05000000005</v>
      </c>
      <c r="O414" s="549">
        <f ca="1">IF(L414&gt;0,N414*100/L414,0)</f>
        <v>47.427252700177966</v>
      </c>
      <c r="P414" s="549">
        <f ca="1">IF(M414&gt;0,N414*100/M414,0)</f>
        <v>47.83290424222173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49015</v>
      </c>
      <c r="O419" s="155">
        <f t="shared" ref="O419:O424" ca="1" si="184">IF(L419&gt;0,N419*100/L419,0)</f>
        <v>62.31248410882278</v>
      </c>
      <c r="P419" s="155">
        <f t="shared" ref="P419:P424" ca="1" si="185">IF(M419&gt;0,N419*100/M419,0)</f>
        <v>62.31248410882278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49015</v>
      </c>
      <c r="O421" s="93">
        <f t="shared" ca="1" si="184"/>
        <v>62.31248410882278</v>
      </c>
      <c r="P421" s="93">
        <f t="shared" ca="1" si="185"/>
        <v>62.31248410882278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49015</v>
      </c>
      <c r="O422" s="497">
        <f t="shared" ca="1" si="184"/>
        <v>62.31248410882278</v>
      </c>
      <c r="P422" s="497">
        <f t="shared" ca="1" si="185"/>
        <v>62.31248410882278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49015</v>
      </c>
      <c r="O424" s="93">
        <f t="shared" ca="1" si="184"/>
        <v>62.31248410882278</v>
      </c>
      <c r="P424" s="93">
        <f t="shared" ca="1" si="185"/>
        <v>62.31248410882278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38000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11015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68680</v>
      </c>
      <c r="O444" s="195">
        <f t="shared" ref="O444:O449" ca="1" si="197">IF(L444&gt;0,N444*100/L444,0)</f>
        <v>66.398545960787345</v>
      </c>
      <c r="P444" s="195">
        <f t="shared" ref="P444:P449" ca="1" si="198">IF(M444&gt;0,N444*100/M444,0)</f>
        <v>73.612004287245441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68680</v>
      </c>
      <c r="O446" s="93">
        <f t="shared" ca="1" si="197"/>
        <v>66.398545960787345</v>
      </c>
      <c r="P446" s="93">
        <f t="shared" ca="1" si="198"/>
        <v>73.612004287245441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68680</v>
      </c>
      <c r="O447" s="497">
        <f t="shared" ca="1" si="197"/>
        <v>66.398545960787345</v>
      </c>
      <c r="P447" s="497">
        <f t="shared" ca="1" si="198"/>
        <v>73.612004287245441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68680</v>
      </c>
      <c r="O449" s="93">
        <f t="shared" ca="1" si="197"/>
        <v>66.398545960787345</v>
      </c>
      <c r="P449" s="93">
        <f t="shared" ca="1" si="198"/>
        <v>73.612004287245441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34990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6690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128558.05</v>
      </c>
      <c r="O544" s="155">
        <f t="shared" ref="O544:O549" ca="1" si="236">IF(L544&gt;0,N544*100/L544,0)</f>
        <v>51.775291985501411</v>
      </c>
      <c r="P544" s="155">
        <f t="shared" ref="P544:P549" ca="1" si="237">IF(M544&gt;0,N544*100/M544,0)</f>
        <v>51.775291985501411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128558.05</v>
      </c>
      <c r="O546" s="93">
        <f t="shared" ca="1" si="236"/>
        <v>51.775291985501411</v>
      </c>
      <c r="P546" s="93">
        <f t="shared" ca="1" si="237"/>
        <v>51.775291985501411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128558.05</v>
      </c>
      <c r="O547" s="497">
        <f t="shared" ca="1" si="236"/>
        <v>51.775291985501411</v>
      </c>
      <c r="P547" s="497">
        <f t="shared" ca="1" si="237"/>
        <v>51.775291985501411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128558.05</v>
      </c>
      <c r="O549" s="93">
        <f t="shared" ca="1" si="236"/>
        <v>51.775291985501411</v>
      </c>
      <c r="P549" s="93">
        <f t="shared" ca="1" si="237"/>
        <v>51.775291985501411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51857.05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565480</v>
      </c>
      <c r="N629" s="195">
        <f t="shared" si="262"/>
        <v>134577</v>
      </c>
      <c r="O629" s="195">
        <f t="shared" ref="O629:O634" ca="1" si="263">IF(L629&gt;0,N629*100/L629,0)</f>
        <v>23.798719671783264</v>
      </c>
      <c r="P629" s="195">
        <f t="shared" ref="P629:P634" ca="1" si="264">IF(M629&gt;0,N629*100/M629,0)</f>
        <v>23.798719671783264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565480</v>
      </c>
      <c r="N631" s="93">
        <f t="shared" si="265"/>
        <v>134577</v>
      </c>
      <c r="O631" s="93">
        <f t="shared" ca="1" si="263"/>
        <v>23.798719671783264</v>
      </c>
      <c r="P631" s="93">
        <f t="shared" ca="1" si="264"/>
        <v>23.798719671783264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565480</v>
      </c>
      <c r="N632" s="497">
        <f t="shared" si="266"/>
        <v>134577</v>
      </c>
      <c r="O632" s="497">
        <f t="shared" ca="1" si="263"/>
        <v>23.798719671783264</v>
      </c>
      <c r="P632" s="497">
        <f t="shared" ca="1" si="264"/>
        <v>23.798719671783264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</f>
        <v>565480</v>
      </c>
      <c r="N634" s="93">
        <f>N635+N636+N637+N638</f>
        <v>134577</v>
      </c>
      <c r="O634" s="93">
        <f t="shared" ca="1" si="263"/>
        <v>23.798719671783264</v>
      </c>
      <c r="P634" s="93">
        <f t="shared" ca="1" si="264"/>
        <v>23.798719671783264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26080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76701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31796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IFERROR(__xludf.DUMMYFUNCTION("IMPORTRANGE(""https://docs.google.com/spreadsheets/d/1XWAQStnk-4SwqDmLtmXYiTMKHgktTP8We1SCoS47DrQ/edit?usp=sharing"",""จัดที่ดิน!AS70"")"),49)</f>
        <v>49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IFERROR(__xludf.DUMMYFUNCTION("IMPORTRANGE(""https://docs.google.com/spreadsheets/d/1XWAQStnk-4SwqDmLtmXYiTMKHgktTP8We1SCoS47DrQ/edit?usp=sharing"",""จัดที่ดิน!AT70"")"),42.56)</f>
        <v>42.56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IFERROR(__xludf.DUMMYFUNCTION("IMPORTRANGE(""https://docs.google.com/spreadsheets/d/1XWAQStnk-4SwqDmLtmXYiTMKHgktTP8We1SCoS47DrQ/edit?usp=sharing"",""จัดที่ดิน!AU70"")"),37)</f>
        <v>37</v>
      </c>
      <c r="K647" s="163">
        <f t="shared" ca="1" si="270"/>
        <v>7.4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IFERROR(__xludf.DUMMYFUNCTION("IMPORTRANGE(""https://docs.google.com/spreadsheets/d/1XWAQStnk-4SwqDmLtmXYiTMKHgktTP8We1SCoS47DrQ/edit?usp=sharing"",""จัดที่ดิน!AV70"")"),40.17)</f>
        <v>40.17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IFERROR(__xludf.DUMMYFUNCTION("IMPORTRANGE(""https://docs.google.com/spreadsheets/d/1XWAQStnk-4SwqDmLtmXYiTMKHgktTP8We1SCoS47DrQ/edit?usp=sharing"",""จัดที่ดิน!AW70"")"),26)</f>
        <v>26</v>
      </c>
      <c r="K649" s="163">
        <f t="shared" ca="1" si="270"/>
        <v>5.2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IFERROR(__xludf.DUMMYFUNCTION("IMPORTRANGE(""https://docs.google.com/spreadsheets/d/1XWAQStnk-4SwqDmLtmXYiTMKHgktTP8We1SCoS47DrQ/edit?usp=sharing"",""จัดที่ดิน!AX70"")"),30.95)</f>
        <v>30.95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270"/>
        <v>5.2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IFERROR(__xludf.DUMMYFUNCTION("IMPORTRANGE(""https://docs.google.com/spreadsheets/d/1XWAQStnk-4SwqDmLtmXYiTMKHgktTP8We1SCoS47DrQ/edit?usp=sharing"",""จัดที่ดิน!AZ70"")"),30.945)</f>
        <v>30.945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1980</v>
      </c>
      <c r="O655" s="195">
        <f t="shared" ref="O655:O660" ca="1" si="273">IF(L655&gt;0,N655*100/L655,0)</f>
        <v>18</v>
      </c>
      <c r="P655" s="195">
        <f t="shared" ref="P655:P660" ca="1" si="274">IF(M655&gt;0,N655*100/M655,0)</f>
        <v>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1980</v>
      </c>
      <c r="O657" s="93">
        <f t="shared" ca="1" si="273"/>
        <v>18</v>
      </c>
      <c r="P657" s="93">
        <f t="shared" ca="1" si="274"/>
        <v>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11000</v>
      </c>
      <c r="N658" s="497">
        <f t="shared" si="276"/>
        <v>1980</v>
      </c>
      <c r="O658" s="497">
        <f t="shared" ca="1" si="273"/>
        <v>18</v>
      </c>
      <c r="P658" s="497">
        <f t="shared" ca="1" si="274"/>
        <v>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</f>
        <v>11000</v>
      </c>
      <c r="N660" s="93">
        <f>N661+N662+N663+N664</f>
        <v>1980</v>
      </c>
      <c r="O660" s="93">
        <f t="shared" ca="1" si="273"/>
        <v>18</v>
      </c>
      <c r="P660" s="93">
        <f t="shared" ca="1" si="274"/>
        <v>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1500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6870</v>
      </c>
      <c r="O685" s="195">
        <f t="shared" ref="O685:O688" ca="1" si="282">IF(L685&gt;0,N685*100/L685,0)</f>
        <v>74.190064794816408</v>
      </c>
      <c r="P685" s="195">
        <f t="shared" ref="P685:P688" ca="1" si="283">IF(M685&gt;0,N685*100/M685,0)</f>
        <v>74.190064794816408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6870</v>
      </c>
      <c r="O687" s="93">
        <f t="shared" ca="1" si="282"/>
        <v>74.190064794816408</v>
      </c>
      <c r="P687" s="93">
        <f t="shared" ca="1" si="283"/>
        <v>74.190064794816408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6870</v>
      </c>
      <c r="O688" s="497">
        <f t="shared" ca="1" si="282"/>
        <v>74.190064794816408</v>
      </c>
      <c r="P688" s="497">
        <f t="shared" ca="1" si="283"/>
        <v>74.190064794816408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6870</v>
      </c>
      <c r="O690" s="93">
        <f ca="1">IF(L690&gt;0,N690*100/L690,0)</f>
        <v>74.190064794816408</v>
      </c>
      <c r="P690" s="93">
        <f ca="1">IF(M690&gt;0,N690*100/M690,0)</f>
        <v>74.190064794816408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6870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IFERROR(__xludf.DUMMYFUNCTION("IMPORTRANGE(""https://docs.google.com/spreadsheets/d/19vJNZY_5yjcGF2XGBMNZRCAIB0Kwfpjp8YEOfu-bneM/edit?usp=sharing"",""งานกองทุน!F70"")"),728169.38)</f>
        <v>728169.38</v>
      </c>
      <c r="K821" s="497">
        <f t="shared" ref="K821:K828" ca="1" si="334">IF(I821&gt;0,J821*100/I821,0)</f>
        <v>30.38104180655958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IFERROR(__xludf.DUMMYFUNCTION("IMPORTRANGE(""https://docs.google.com/spreadsheets/d/19vJNZY_5yjcGF2XGBMNZRCAIB0Kwfpjp8YEOfu-bneM/edit?usp=sharing"",""งานกองทุน!E70"")"),55)</f>
        <v>55</v>
      </c>
      <c r="K822" s="497">
        <f t="shared" ca="1" si="334"/>
        <v>31.609195402298852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IFERROR(__xludf.DUMMYFUNCTION("IMPORTRANGE(""https://docs.google.com/spreadsheets/d/19vJNZY_5yjcGF2XGBMNZRCAIB0Kwfpjp8YEOfu-bneM/edit?usp=sharing"",""งานกองทุน!K70"")"),539947.07)</f>
        <v>539947.06999999995</v>
      </c>
      <c r="K823" s="497">
        <f t="shared" ca="1" si="334"/>
        <v>3.1825644007557901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IFERROR(__xludf.DUMMYFUNCTION("IMPORTRANGE(""https://docs.google.com/spreadsheets/d/19vJNZY_5yjcGF2XGBMNZRCAIB0Kwfpjp8YEOfu-bneM/edit?usp=sharing"",""งานกองทุน!J70"")"),61)</f>
        <v>61</v>
      </c>
      <c r="K824" s="497">
        <f t="shared" ca="1" si="334"/>
        <v>24.015748031496063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IFERROR(__xludf.DUMMYFUNCTION("IMPORTRANGE(""https://docs.google.com/spreadsheets/d/19vJNZY_5yjcGF2XGBMNZRCAIB0Kwfpjp8YEOfu-bneM/edit?usp=sharing"",""งานกองทุน!P70"")"),199237.08)</f>
        <v>199237.08</v>
      </c>
      <c r="K825" s="497">
        <f t="shared" ca="1" si="334"/>
        <v>8.3302007865783203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IFERROR(__xludf.DUMMYFUNCTION("IMPORTRANGE(""https://docs.google.com/spreadsheets/d/19vJNZY_5yjcGF2XGBMNZRCAIB0Kwfpjp8YEOfu-bneM/edit?usp=sharing"",""งานกองทุน!O70"")"),110)</f>
        <v>110</v>
      </c>
      <c r="K826" s="497">
        <f t="shared" ca="1" si="334"/>
        <v>125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DDAC1-B05B-4878-93BE-C5CE64BA054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62" t="s">
        <v>383</v>
      </c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7325411.3100000005</v>
      </c>
      <c r="N8" s="22">
        <f t="shared" ca="1" si="0"/>
        <v>4110086.62</v>
      </c>
      <c r="O8" s="22">
        <f t="shared" ref="O8:O16" ca="1" si="1">IF(L8&gt;0,N8*100/L8,0)</f>
        <v>51.687714441331089</v>
      </c>
      <c r="P8" s="22">
        <f t="shared" ref="P8:P16" ca="1" si="2">IF(M8&gt;0,N8*100/M8,0)</f>
        <v>56.107247034569582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7325411.3100000005</v>
      </c>
      <c r="N10" s="30">
        <f t="shared" ca="1" si="3"/>
        <v>4110086.62</v>
      </c>
      <c r="O10" s="30">
        <f t="shared" ca="1" si="1"/>
        <v>51.687714441331089</v>
      </c>
      <c r="P10" s="30">
        <f t="shared" ca="1" si="2"/>
        <v>56.107247034569582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6783811.3100000005</v>
      </c>
      <c r="N11" s="497">
        <f t="shared" ca="1" si="4"/>
        <v>3568486.62</v>
      </c>
      <c r="O11" s="497">
        <f t="shared" ca="1" si="1"/>
        <v>48.415360989188486</v>
      </c>
      <c r="P11" s="497">
        <f t="shared" ca="1" si="2"/>
        <v>52.602975774690286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7370567</v>
      </c>
      <c r="M13" s="93">
        <f t="shared" ca="1" si="5"/>
        <v>6783811.3100000005</v>
      </c>
      <c r="N13" s="93">
        <f t="shared" ca="1" si="5"/>
        <v>3568486.62</v>
      </c>
      <c r="O13" s="93">
        <f t="shared" ca="1" si="1"/>
        <v>48.415360989188486</v>
      </c>
      <c r="P13" s="93">
        <f t="shared" ca="1" si="2"/>
        <v>52.602975774690286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541600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3752150.31</v>
      </c>
      <c r="N18" s="22">
        <f t="shared" ca="1" si="8"/>
        <v>3128517.41</v>
      </c>
      <c r="O18" s="22">
        <f t="shared" ref="O18:O26" ca="1" si="9">IF(L18&gt;0,N18*100/L18,0)</f>
        <v>71.451710012501977</v>
      </c>
      <c r="P18" s="22">
        <f t="shared" ref="P18:P26" ca="1" si="10">IF(M18&gt;0,N18*100/M18,0)</f>
        <v>83.379319897235135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3752150.31</v>
      </c>
      <c r="N20" s="30">
        <f t="shared" ca="1" si="11"/>
        <v>3128517.41</v>
      </c>
      <c r="O20" s="30">
        <f t="shared" ca="1" si="9"/>
        <v>71.451710012501977</v>
      </c>
      <c r="P20" s="30">
        <f t="shared" ca="1" si="10"/>
        <v>83.379319897235135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3210550.31</v>
      </c>
      <c r="N21" s="497">
        <f t="shared" ca="1" si="12"/>
        <v>2586917.41</v>
      </c>
      <c r="O21" s="497">
        <f t="shared" ca="1" si="9"/>
        <v>68.125071037203739</v>
      </c>
      <c r="P21" s="497">
        <f t="shared" ca="1" si="10"/>
        <v>80.575513859491579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3797306</v>
      </c>
      <c r="M23" s="93">
        <f t="shared" ca="1" si="13"/>
        <v>3210550.31</v>
      </c>
      <c r="N23" s="93">
        <f t="shared" ca="1" si="13"/>
        <v>2586917.41</v>
      </c>
      <c r="O23" s="93">
        <f t="shared" ca="1" si="9"/>
        <v>68.125071037203739</v>
      </c>
      <c r="P23" s="93">
        <f t="shared" ca="1" si="10"/>
        <v>80.575513859491579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541600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981569.21</v>
      </c>
      <c r="O28" s="22">
        <f t="shared" ref="O28:O37" ca="1" si="17">IF(L28&gt;0,N28*100/L28,0)</f>
        <v>27.469843652618714</v>
      </c>
      <c r="P28" s="22">
        <f t="shared" ref="P28:P37" ca="1" si="18">IF(M28&gt;0,N28*100/M28,0)</f>
        <v>27.469843652618714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981569.21</v>
      </c>
      <c r="O30" s="30">
        <f t="shared" ca="1" si="17"/>
        <v>27.469843652618714</v>
      </c>
      <c r="P30" s="30">
        <f t="shared" ca="1" si="18"/>
        <v>27.469843652618714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ca="1" si="20"/>
        <v>3573261</v>
      </c>
      <c r="N31" s="497">
        <f t="shared" si="20"/>
        <v>981569.21</v>
      </c>
      <c r="O31" s="497">
        <f t="shared" ca="1" si="17"/>
        <v>27.469843652618714</v>
      </c>
      <c r="P31" s="497">
        <f t="shared" ca="1" si="18"/>
        <v>27.469843652618714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3573261</v>
      </c>
      <c r="M33" s="93">
        <f t="shared" ca="1" si="21"/>
        <v>3573261</v>
      </c>
      <c r="N33" s="93">
        <f t="shared" si="21"/>
        <v>981569.21</v>
      </c>
      <c r="O33" s="93">
        <f t="shared" ca="1" si="17"/>
        <v>27.469843652618714</v>
      </c>
      <c r="P33" s="93">
        <f t="shared" ca="1" si="18"/>
        <v>27.469843652618714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3752150.31</v>
      </c>
      <c r="N37" s="59">
        <f t="shared" ca="1" si="24"/>
        <v>3128517.41</v>
      </c>
      <c r="O37" s="59">
        <f t="shared" ca="1" si="17"/>
        <v>71.451710012501977</v>
      </c>
      <c r="P37" s="59">
        <f t="shared" ca="1" si="18"/>
        <v>83.379319897235135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543250.31000000006</v>
      </c>
      <c r="N41" s="85">
        <f t="shared" ca="1" si="25"/>
        <v>370232</v>
      </c>
      <c r="O41" s="85">
        <f t="shared" ref="O41:O49" ca="1" si="26">IF(L41&gt;0,N41*100/L41,0)</f>
        <v>70.541073000461083</v>
      </c>
      <c r="P41" s="85">
        <f t="shared" ref="P41:P49" ca="1" si="27">IF(M41&gt;0,N41*100/M41,0)</f>
        <v>68.151272661031697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543250.31000000006</v>
      </c>
      <c r="N43" s="92">
        <f t="shared" ca="1" si="28"/>
        <v>370232</v>
      </c>
      <c r="O43" s="92">
        <f t="shared" ca="1" si="26"/>
        <v>70.541073000461083</v>
      </c>
      <c r="P43" s="92">
        <f t="shared" ca="1" si="27"/>
        <v>68.151272661031697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543250.31000000006</v>
      </c>
      <c r="N44" s="497">
        <f t="shared" ca="1" si="29"/>
        <v>370232</v>
      </c>
      <c r="O44" s="497">
        <f t="shared" ca="1" si="26"/>
        <v>70.541073000461083</v>
      </c>
      <c r="P44" s="497">
        <f t="shared" ca="1" si="27"/>
        <v>68.151272661031697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IFERROR(__xludf.DUMMYFUNCTION("IMPORTRANGE(""https://docs.google.com/spreadsheets/d/1MeEWN-I1oV_STSDYn1IFDPWt_1FKiwhDph83XaGc0o0/edit?usp=sharing"",""งบพรบ!R53"")"),543250.31)</f>
        <v>543250.31000000006</v>
      </c>
      <c r="N46" s="93">
        <f ca="1">IFERROR(__xludf.DUMMYFUNCTION("IMPORTRANGE(""https://docs.google.com/spreadsheets/d/1MeEWN-I1oV_STSDYn1IFDPWt_1FKiwhDph83XaGc0o0/edit?usp=sharing"",""งบพรบ!T53"")"),370232)</f>
        <v>370232</v>
      </c>
      <c r="O46" s="93">
        <f t="shared" ca="1" si="26"/>
        <v>70.541073000461083</v>
      </c>
      <c r="P46" s="93">
        <f t="shared" ca="1" si="27"/>
        <v>68.151272661031697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1162900</v>
      </c>
      <c r="N53" s="116">
        <f t="shared" ca="1" si="31"/>
        <v>1050431.4100000001</v>
      </c>
      <c r="O53" s="116">
        <f t="shared" ref="O53:O61" ca="1" si="32">IF(L53&gt;0,N53*100/L53,0)</f>
        <v>72.453539108842605</v>
      </c>
      <c r="P53" s="116">
        <f t="shared" ref="P53:P61" ca="1" si="33">IF(M53&gt;0,N53*100/M53,0)</f>
        <v>90.328610370625171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1162900</v>
      </c>
      <c r="N55" s="123">
        <f t="shared" ca="1" si="34"/>
        <v>1050431.4100000001</v>
      </c>
      <c r="O55" s="123">
        <f t="shared" ca="1" si="32"/>
        <v>72.453539108842605</v>
      </c>
      <c r="P55" s="123">
        <f t="shared" ca="1" si="33"/>
        <v>90.328610370625171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741900</v>
      </c>
      <c r="N56" s="497">
        <f t="shared" ca="1" si="35"/>
        <v>629431.41</v>
      </c>
      <c r="O56" s="497">
        <f t="shared" ca="1" si="32"/>
        <v>63.630348766680143</v>
      </c>
      <c r="P56" s="497">
        <f t="shared" ca="1" si="33"/>
        <v>84.840465022240195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IFERROR(__xludf.DUMMYFUNCTION("IMPORTRANGE(""https://docs.google.com/spreadsheets/d/1MeEWN-I1oV_STSDYn1IFDPWt_1FKiwhDph83XaGc0o0/edit?usp=sharing"",""งบพรบ!AB53"")"),741900)</f>
        <v>741900</v>
      </c>
      <c r="N58" s="93">
        <f ca="1">IFERROR(__xludf.DUMMYFUNCTION("IMPORTRANGE(""https://docs.google.com/spreadsheets/d/1MeEWN-I1oV_STSDYn1IFDPWt_1FKiwhDph83XaGc0o0/edit?usp=sharing"",""งบพรบ!AD53"")"),629431.41)</f>
        <v>629431.41</v>
      </c>
      <c r="O58" s="93">
        <f t="shared" ca="1" si="32"/>
        <v>63.630348766680143</v>
      </c>
      <c r="P58" s="93">
        <f t="shared" ca="1" si="33"/>
        <v>84.840465022240195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421000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51890</v>
      </c>
      <c r="N88" s="155">
        <f t="shared" ca="1" si="49"/>
        <v>22350</v>
      </c>
      <c r="O88" s="155">
        <f t="shared" ref="O88:O96" ca="1" si="50">IF(L88&gt;0,N88*100/L88,0)</f>
        <v>25.886031966643504</v>
      </c>
      <c r="P88" s="155">
        <f t="shared" ref="P88:P96" ca="1" si="51">IF(M88&gt;0,N88*100/M88,0)</f>
        <v>43.071882829061479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86340</v>
      </c>
      <c r="M90" s="93">
        <f t="shared" ca="1" si="52"/>
        <v>51890</v>
      </c>
      <c r="N90" s="93">
        <f t="shared" ca="1" si="52"/>
        <v>22350</v>
      </c>
      <c r="O90" s="93">
        <f t="shared" ca="1" si="50"/>
        <v>25.886031966643504</v>
      </c>
      <c r="P90" s="93">
        <f t="shared" ca="1" si="51"/>
        <v>43.071882829061479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51890</v>
      </c>
      <c r="N91" s="497">
        <f t="shared" ca="1" si="53"/>
        <v>22350</v>
      </c>
      <c r="O91" s="497">
        <f t="shared" ca="1" si="50"/>
        <v>25.886031966643504</v>
      </c>
      <c r="P91" s="497">
        <f t="shared" ca="1" si="51"/>
        <v>43.071882829061479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IFERROR(__xludf.DUMMYFUNCTION("IMPORTRANGE(""https://docs.google.com/spreadsheets/d/1MeEWN-I1oV_STSDYn1IFDPWt_1FKiwhDph83XaGc0o0/edit?usp=sharing"",""งบพรบ!AV53"")"),51890)</f>
        <v>51890</v>
      </c>
      <c r="N93" s="93">
        <f ca="1">IFERROR(__xludf.DUMMYFUNCTION("IMPORTRANGE(""https://docs.google.com/spreadsheets/d/1MeEWN-I1oV_STSDYn1IFDPWt_1FKiwhDph83XaGc0o0/edit?usp=sharing"",""งบพรบ!AX53"")"),22350)</f>
        <v>22350</v>
      </c>
      <c r="O93" s="93">
        <f t="shared" ca="1" si="50"/>
        <v>25.886031966643504</v>
      </c>
      <c r="P93" s="93">
        <f t="shared" ca="1" si="51"/>
        <v>43.071882829061479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14178</v>
      </c>
      <c r="O149" s="155">
        <f t="shared" ref="O149:O157" ca="1" si="78">IF(L149&gt;0,N149*100/L149,0)</f>
        <v>141.78</v>
      </c>
      <c r="P149" s="155">
        <f t="shared" ref="P149:P157" ca="1" si="79">IF(M149&gt;0,N149*100/M149,0)</f>
        <v>56.306592533756948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14178</v>
      </c>
      <c r="O151" s="93">
        <f t="shared" ca="1" si="78"/>
        <v>141.78</v>
      </c>
      <c r="P151" s="93">
        <f t="shared" ca="1" si="79"/>
        <v>56.306592533756948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14178</v>
      </c>
      <c r="O152" s="497">
        <f t="shared" ca="1" si="78"/>
        <v>141.78</v>
      </c>
      <c r="P152" s="497">
        <f t="shared" ca="1" si="79"/>
        <v>56.306592533756948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IFERROR(__xludf.DUMMYFUNCTION("IMPORTRANGE(""https://docs.google.com/spreadsheets/d/1MeEWN-I1oV_STSDYn1IFDPWt_1FKiwhDph83XaGc0o0/edit?usp=sharing"",""งบพรบ!CB53"")"),14178)</f>
        <v>14178</v>
      </c>
      <c r="O154" s="93">
        <f t="shared" ca="1" si="78"/>
        <v>141.78</v>
      </c>
      <c r="P154" s="93">
        <f t="shared" ca="1" si="79"/>
        <v>56.306592533756948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36400</v>
      </c>
      <c r="N165" s="155">
        <f t="shared" ca="1" si="84"/>
        <v>36400</v>
      </c>
      <c r="O165" s="155">
        <f t="shared" ref="O165:O173" ca="1" si="85">IF(L165&gt;0,N165*100/L165,0)</f>
        <v>157.84908933217693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36400</v>
      </c>
      <c r="N167" s="93">
        <f t="shared" ca="1" si="87"/>
        <v>36400</v>
      </c>
      <c r="O167" s="93">
        <f t="shared" ca="1" si="85"/>
        <v>157.84908933217693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36400</v>
      </c>
      <c r="N168" s="497">
        <f t="shared" ca="1" si="88"/>
        <v>36400</v>
      </c>
      <c r="O168" s="497">
        <f t="shared" ca="1" si="85"/>
        <v>157.84908933217693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IFERROR(__xludf.DUMMYFUNCTION("IMPORTRANGE(""https://docs.google.com/spreadsheets/d/1MeEWN-I1oV_STSDYn1IFDPWt_1FKiwhDph83XaGc0o0/edit?usp=sharing"",""งบพรบ!CJ53"")"),36400)</f>
        <v>36400</v>
      </c>
      <c r="N170" s="93">
        <f ca="1">IFERROR(__xludf.DUMMYFUNCTION("IMPORTRANGE(""https://docs.google.com/spreadsheets/d/1MeEWN-I1oV_STSDYn1IFDPWt_1FKiwhDph83XaGc0o0/edit?usp=sharing"",""งบพรบ!CL53"")"),36400)</f>
        <v>36400</v>
      </c>
      <c r="O170" s="93">
        <f t="shared" ca="1" si="85"/>
        <v>157.84908933217693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324550</v>
      </c>
      <c r="N181" s="155">
        <f t="shared" ca="1" si="92"/>
        <v>261813</v>
      </c>
      <c r="O181" s="155">
        <f t="shared" ref="O181:O189" ca="1" si="93">IF(L181&gt;0,N181*100/L181,0)</f>
        <v>74.273191489361707</v>
      </c>
      <c r="P181" s="155">
        <f t="shared" ref="P181:P189" ca="1" si="94">IF(M181&gt;0,N181*100/M181,0)</f>
        <v>80.66954244338315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352500</v>
      </c>
      <c r="M183" s="93">
        <f t="shared" ca="1" si="95"/>
        <v>324550</v>
      </c>
      <c r="N183" s="93">
        <f t="shared" ca="1" si="95"/>
        <v>261813</v>
      </c>
      <c r="O183" s="93">
        <f t="shared" ca="1" si="93"/>
        <v>74.273191489361707</v>
      </c>
      <c r="P183" s="93">
        <f t="shared" ca="1" si="94"/>
        <v>80.66954244338315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324550</v>
      </c>
      <c r="N184" s="497">
        <f t="shared" ca="1" si="96"/>
        <v>261813</v>
      </c>
      <c r="O184" s="497">
        <f t="shared" ca="1" si="93"/>
        <v>74.273191489361707</v>
      </c>
      <c r="P184" s="497">
        <f t="shared" ca="1" si="94"/>
        <v>80.66954244338315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IFERROR(__xludf.DUMMYFUNCTION("IMPORTRANGE(""https://docs.google.com/spreadsheets/d/1MeEWN-I1oV_STSDYn1IFDPWt_1FKiwhDph83XaGc0o0/edit?usp=sharing"",""งบพรบ!CT53"")"),324550)</f>
        <v>324550</v>
      </c>
      <c r="N186" s="93">
        <f ca="1">IFERROR(__xludf.DUMMYFUNCTION("IMPORTRANGE(""https://docs.google.com/spreadsheets/d/1MeEWN-I1oV_STSDYn1IFDPWt_1FKiwhDph83XaGc0o0/edit?usp=sharing"",""งบพรบ!CV53"")"),261813)</f>
        <v>261813</v>
      </c>
      <c r="O186" s="93">
        <f t="shared" ca="1" si="93"/>
        <v>74.273191489361707</v>
      </c>
      <c r="P186" s="93">
        <f t="shared" ca="1" si="94"/>
        <v>80.66954244338315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3080</v>
      </c>
      <c r="O191" s="155">
        <f ca="1">IF(L191&gt;0,N191*100/L191,0)</f>
        <v>51.333333333333336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32000</v>
      </c>
      <c r="O198" s="155">
        <f ca="1">IF(L198&gt;0,N198*100/L198,0)</f>
        <v>56.140350877192979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7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9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78000</v>
      </c>
      <c r="O209" s="155">
        <f ca="1">IF(L209&gt;0,N209*100/L209,0)</f>
        <v>92.857142857142861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56300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1100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55200</v>
      </c>
      <c r="M229" s="93"/>
      <c r="N229" s="93">
        <f t="shared" si="107"/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30000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56300</v>
      </c>
      <c r="O238" s="155">
        <f ca="1">IF(L238&gt;0,N238*100/L238,0)</f>
        <v>46.838602329450914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72">
        <v>1100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72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15</v>
      </c>
      <c r="K260" s="254">
        <f ca="1">IF(I260&gt;0,J260*100/I260,0)</f>
        <v>53.571428571428569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29600</v>
      </c>
      <c r="N261" s="155">
        <f t="shared" ca="1" si="116"/>
        <v>4550</v>
      </c>
      <c r="O261" s="155">
        <f t="shared" ref="O261:O269" ca="1" si="117">IF(L261&gt;0,N261*100/L261,0)</f>
        <v>13.957055214723926</v>
      </c>
      <c r="P261" s="155">
        <f t="shared" ref="P261:P269" ca="1" si="118">IF(M261&gt;0,N261*100/M261,0)</f>
        <v>15.371621621621621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32600</v>
      </c>
      <c r="M263" s="93">
        <f t="shared" ca="1" si="119"/>
        <v>29600</v>
      </c>
      <c r="N263" s="93">
        <f t="shared" ca="1" si="119"/>
        <v>4550</v>
      </c>
      <c r="O263" s="93">
        <f t="shared" ca="1" si="117"/>
        <v>13.957055214723926</v>
      </c>
      <c r="P263" s="93">
        <f t="shared" ca="1" si="118"/>
        <v>15.371621621621621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29600</v>
      </c>
      <c r="N264" s="497">
        <f t="shared" ca="1" si="120"/>
        <v>4550</v>
      </c>
      <c r="O264" s="497">
        <f t="shared" ca="1" si="117"/>
        <v>13.957055214723926</v>
      </c>
      <c r="P264" s="497">
        <f t="shared" ca="1" si="118"/>
        <v>15.371621621621621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IFERROR(__xludf.DUMMYFUNCTION("IMPORTRANGE(""https://docs.google.com/spreadsheets/d/1MeEWN-I1oV_STSDYn1IFDPWt_1FKiwhDph83XaGc0o0/edit?usp=sharing"",""งบพรบ!DD53"")"),29600)</f>
        <v>29600</v>
      </c>
      <c r="N266" s="93">
        <f ca="1">IFERROR(__xludf.DUMMYFUNCTION("IMPORTRANGE(""https://docs.google.com/spreadsheets/d/1MeEWN-I1oV_STSDYn1IFDPWt_1FKiwhDph83XaGc0o0/edit?usp=sharing"",""งบพรบ!DF53"")"),4550)</f>
        <v>4550</v>
      </c>
      <c r="O266" s="93">
        <f t="shared" ca="1" si="117"/>
        <v>13.957055214723926</v>
      </c>
      <c r="P266" s="93">
        <f t="shared" ca="1" si="118"/>
        <v>15.371621621621621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15</v>
      </c>
      <c r="K271" s="163">
        <f ca="1">IF(I271&gt;0,J271*100/I271,0)</f>
        <v>53.571428571428569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250</v>
      </c>
      <c r="J276" s="874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121370</v>
      </c>
      <c r="N277" s="155">
        <f t="shared" ca="1" si="125"/>
        <v>120190</v>
      </c>
      <c r="O277" s="155">
        <f t="shared" ref="O277:O285" ca="1" si="126">IF(L277&gt;0,N277*100/L277,0)</f>
        <v>61.947221935882901</v>
      </c>
      <c r="P277" s="155">
        <f t="shared" ref="P277:P285" ca="1" si="127">IF(M277&gt;0,N277*100/M277,0)</f>
        <v>99.027766334349508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194020</v>
      </c>
      <c r="M279" s="93">
        <f t="shared" ca="1" si="128"/>
        <v>121370</v>
      </c>
      <c r="N279" s="93">
        <f t="shared" ca="1" si="128"/>
        <v>120190</v>
      </c>
      <c r="O279" s="93">
        <f t="shared" ca="1" si="126"/>
        <v>61.947221935882901</v>
      </c>
      <c r="P279" s="93">
        <f t="shared" ca="1" si="127"/>
        <v>99.027766334349508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121370</v>
      </c>
      <c r="N280" s="497">
        <f t="shared" ca="1" si="129"/>
        <v>120190</v>
      </c>
      <c r="O280" s="497">
        <f t="shared" ca="1" si="126"/>
        <v>61.947221935882901</v>
      </c>
      <c r="P280" s="497">
        <f t="shared" ca="1" si="127"/>
        <v>99.027766334349508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IFERROR(__xludf.DUMMYFUNCTION("IMPORTRANGE(""https://docs.google.com/spreadsheets/d/1MeEWN-I1oV_STSDYn1IFDPWt_1FKiwhDph83XaGc0o0/edit?usp=sharing"",""งบพรบ!DN53"")"),121370)</f>
        <v>121370</v>
      </c>
      <c r="N282" s="93">
        <f ca="1">IFERROR(__xludf.DUMMYFUNCTION("IMPORTRANGE(""https://docs.google.com/spreadsheets/d/1MeEWN-I1oV_STSDYn1IFDPWt_1FKiwhDph83XaGc0o0/edit?usp=sharing"",""งบพรบ!DP53"")"),120190)</f>
        <v>120190</v>
      </c>
      <c r="O282" s="93">
        <f t="shared" ca="1" si="126"/>
        <v>61.947221935882901</v>
      </c>
      <c r="P282" s="93">
        <f t="shared" ca="1" si="127"/>
        <v>99.027766334349508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258432</v>
      </c>
      <c r="O298" s="155">
        <f t="shared" ref="O298:O306" ca="1" si="136">IF(L298&gt;0,N298*100/L298,0)</f>
        <v>70.149837133550491</v>
      </c>
      <c r="P298" s="155">
        <f t="shared" ref="P298:P306" ca="1" si="137">IF(M298&gt;0,N298*100/M298,0)</f>
        <v>94.872246696035248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258432</v>
      </c>
      <c r="O300" s="93">
        <f t="shared" ca="1" si="136"/>
        <v>70.149837133550491</v>
      </c>
      <c r="P300" s="93">
        <f t="shared" ca="1" si="137"/>
        <v>94.872246696035248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258432</v>
      </c>
      <c r="O301" s="497">
        <f t="shared" ca="1" si="136"/>
        <v>70.149837133550491</v>
      </c>
      <c r="P301" s="497">
        <f t="shared" ca="1" si="137"/>
        <v>94.872246696035248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IFERROR(__xludf.DUMMYFUNCTION("IMPORTRANGE(""https://docs.google.com/spreadsheets/d/1MeEWN-I1oV_STSDYn1IFDPWt_1FKiwhDph83XaGc0o0/edit?usp=sharing"",""งบพรบ!DX53"")"),272400)</f>
        <v>272400</v>
      </c>
      <c r="N303" s="93">
        <f ca="1">IFERROR(__xludf.DUMMYFUNCTION("IMPORTRANGE(""https://docs.google.com/spreadsheets/d/1MeEWN-I1oV_STSDYn1IFDPWt_1FKiwhDph83XaGc0o0/edit?usp=sharing"",""งบพรบ!DZ53"")"),258432)</f>
        <v>258432</v>
      </c>
      <c r="O303" s="93">
        <f t="shared" ca="1" si="136"/>
        <v>70.149837133550491</v>
      </c>
      <c r="P303" s="93">
        <f t="shared" ca="1" si="137"/>
        <v>94.872246696035248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98435</v>
      </c>
      <c r="O315" s="155">
        <f t="shared" ref="O315:O323" ca="1" si="144">IF(L315&gt;0,N315*100/L315,0)</f>
        <v>64.33660130718954</v>
      </c>
      <c r="P315" s="155">
        <f t="shared" ref="P315:P323" ca="1" si="145">IF(M315&gt;0,N315*100/M315,0)</f>
        <v>85.969432314410483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98435</v>
      </c>
      <c r="O317" s="93">
        <f t="shared" ca="1" si="144"/>
        <v>64.33660130718954</v>
      </c>
      <c r="P317" s="93">
        <f t="shared" ca="1" si="145"/>
        <v>85.969432314410483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98435</v>
      </c>
      <c r="O318" s="497">
        <f t="shared" ca="1" si="144"/>
        <v>64.33660130718954</v>
      </c>
      <c r="P318" s="497">
        <f t="shared" ca="1" si="145"/>
        <v>85.969432314410483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IFERROR(__xludf.DUMMYFUNCTION("IMPORTRANGE(""https://docs.google.com/spreadsheets/d/1MeEWN-I1oV_STSDYn1IFDPWt_1FKiwhDph83XaGc0o0/edit?usp=sharing"",""งบพรบ!EH53"")"),114500)</f>
        <v>114500</v>
      </c>
      <c r="N320" s="93">
        <f ca="1">IFERROR(__xludf.DUMMYFUNCTION("IMPORTRANGE(""https://docs.google.com/spreadsheets/d/1MeEWN-I1oV_STSDYn1IFDPWt_1FKiwhDph83XaGc0o0/edit?usp=sharing"",""งบพรบ!EJ53"")"),98435)</f>
        <v>98435</v>
      </c>
      <c r="O320" s="93">
        <f t="shared" ca="1" si="144"/>
        <v>64.33660130718954</v>
      </c>
      <c r="P320" s="93">
        <f t="shared" ca="1" si="145"/>
        <v>85.969432314410483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4305</v>
      </c>
      <c r="K327" s="445">
        <f ca="1">IF(I327&gt;0,J327*100/I327,0)</f>
        <v>269.0625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115004</v>
      </c>
      <c r="O328" s="155">
        <f t="shared" ref="O328:O336" ca="1" si="150">IF(L328&gt;0,N328*100/L328,0)</f>
        <v>68.454761904761909</v>
      </c>
      <c r="P328" s="155">
        <f t="shared" ref="P328:P336" ca="1" si="151">IF(M328&gt;0,N328*100/M328,0)</f>
        <v>89.497276264591434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115004</v>
      </c>
      <c r="O330" s="93">
        <f t="shared" ca="1" si="150"/>
        <v>68.454761904761909</v>
      </c>
      <c r="P330" s="93">
        <f t="shared" ca="1" si="151"/>
        <v>89.497276264591434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128500</v>
      </c>
      <c r="N331" s="497">
        <f t="shared" ca="1" si="153"/>
        <v>115004</v>
      </c>
      <c r="O331" s="497">
        <f t="shared" ca="1" si="150"/>
        <v>68.454761904761909</v>
      </c>
      <c r="P331" s="497">
        <f t="shared" ca="1" si="151"/>
        <v>89.497276264591434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IFERROR(__xludf.DUMMYFUNCTION("IMPORTRANGE(""https://docs.google.com/spreadsheets/d/1MeEWN-I1oV_STSDYn1IFDPWt_1FKiwhDph83XaGc0o0/edit?usp=sharing"",""งบพรบ!ER53"")"),128500)</f>
        <v>128500</v>
      </c>
      <c r="N333" s="93">
        <f ca="1">IFERROR(__xludf.DUMMYFUNCTION("IMPORTRANGE(""https://docs.google.com/spreadsheets/d/1MeEWN-I1oV_STSDYn1IFDPWt_1FKiwhDph83XaGc0o0/edit?usp=sharing"",""งบพรบ!ET53"")"),115004)</f>
        <v>115004</v>
      </c>
      <c r="O333" s="93">
        <f t="shared" ca="1" si="150"/>
        <v>68.454761904761909</v>
      </c>
      <c r="P333" s="93">
        <f t="shared" ca="1" si="151"/>
        <v>89.497276264591434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IFERROR(__xludf.DUMMYFUNCTION("IMPORTRANGE(""https://docs.google.com/spreadsheets/d/1kVcqe37tkHyjCSG3S0O1AXqVkqjo8mSIZil3BcpIysc/edit?usp=sharing"",""ศูนย์!D53"")"),4059)</f>
        <v>4059</v>
      </c>
      <c r="K338" s="497">
        <f ca="1">IF(I338&gt;0,J338*100/I338,0)</f>
        <v>253.6875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941610</v>
      </c>
      <c r="N345" s="155">
        <f t="shared" ca="1" si="155"/>
        <v>776502</v>
      </c>
      <c r="O345" s="155">
        <f t="shared" ref="O345:O353" ca="1" si="156">IF(L345&gt;0,N345*100/L345,0)</f>
        <v>76.431875898182966</v>
      </c>
      <c r="P345" s="155">
        <f t="shared" ref="P345:P353" ca="1" si="157">IF(M345&gt;0,N345*100/M345,0)</f>
        <v>82.465351897282318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1015940</v>
      </c>
      <c r="M347" s="93">
        <f t="shared" ca="1" si="158"/>
        <v>941610</v>
      </c>
      <c r="N347" s="93">
        <f t="shared" ca="1" si="158"/>
        <v>776502</v>
      </c>
      <c r="O347" s="93">
        <f t="shared" ca="1" si="156"/>
        <v>76.431875898182966</v>
      </c>
      <c r="P347" s="93">
        <f t="shared" ca="1" si="157"/>
        <v>82.465351897282318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821010</v>
      </c>
      <c r="N348" s="497">
        <f t="shared" ca="1" si="159"/>
        <v>655902</v>
      </c>
      <c r="O348" s="497">
        <f t="shared" ca="1" si="156"/>
        <v>73.257310072151355</v>
      </c>
      <c r="P348" s="497">
        <f t="shared" ca="1" si="157"/>
        <v>79.889648116344503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IFERROR(__xludf.DUMMYFUNCTION("IMPORTRANGE(""https://docs.google.com/spreadsheets/d/1MeEWN-I1oV_STSDYn1IFDPWt_1FKiwhDph83XaGc0o0/edit?usp=sharing"",""งบพรบ!FB53"")"),821010)</f>
        <v>821010</v>
      </c>
      <c r="N350" s="93">
        <f ca="1">IFERROR(__xludf.DUMMYFUNCTION("IMPORTRANGE(""https://docs.google.com/spreadsheets/d/1MeEWN-I1oV_STSDYn1IFDPWt_1FKiwhDph83XaGc0o0/edit?usp=sharing"",""งบพรบ!FD53"")"),655902)</f>
        <v>655902</v>
      </c>
      <c r="O350" s="93">
        <f t="shared" ca="1" si="156"/>
        <v>73.257310072151355</v>
      </c>
      <c r="P350" s="93">
        <f t="shared" ca="1" si="157"/>
        <v>79.889648116344503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3</v>
      </c>
      <c r="K355" s="465">
        <f ca="1">IF(I355&gt;0,J355*100/I355,0)</f>
        <v>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IFERROR(__xludf.DUMMYFUNCTION("IMPORTRANGE(""https://docs.google.com/spreadsheets/d/1XWAQStnk-4SwqDmLtmXYiTMKHgktTP8We1SCoS47DrQ/edit?usp=sharing"",""จัดที่ดิน!W53"")"),216)</f>
        <v>216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IFERROR(__xludf.DUMMYFUNCTION("IMPORTRANGE(""https://docs.google.com/spreadsheets/d/1XWAQStnk-4SwqDmLtmXYiTMKHgktTP8We1SCoS47DrQ/edit?usp=sharing"",""จัดที่ดิน!X53"")"),2192.77999999999)</f>
        <v>2192.7799999999902</v>
      </c>
      <c r="K359" s="497">
        <f t="shared" ca="1" si="161"/>
        <v>73.092666666666332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IFERROR(__xludf.DUMMYFUNCTION("IMPORTRANGE(""https://docs.google.com/spreadsheets/d/1XWAQStnk-4SwqDmLtmXYiTMKHgktTP8We1SCoS47DrQ/edit?usp=sharing"",""จัดที่ดิน!Y53"")"),34)</f>
        <v>34</v>
      </c>
      <c r="K360" s="497">
        <f t="shared" ca="1" si="161"/>
        <v>11.333333333333334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IFERROR(__xludf.DUMMYFUNCTION("IMPORTRANGE(""https://docs.google.com/spreadsheets/d/1XWAQStnk-4SwqDmLtmXYiTMKHgktTP8We1SCoS47DrQ/edit?usp=sharing"",""จัดที่ดิน!Z53"")"),404.65)</f>
        <v>404.65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IFERROR(__xludf.DUMMYFUNCTION("IMPORTRANGE(""https://docs.google.com/spreadsheets/d/1XWAQStnk-4SwqDmLtmXYiTMKHgktTP8We1SCoS47DrQ/edit?usp=sharing"",""จัดที่ดิน!AA53"")"),3)</f>
        <v>3</v>
      </c>
      <c r="K362" s="497">
        <f t="shared" ca="1" si="161"/>
        <v>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IFERROR(__xludf.DUMMYFUNCTION("IMPORTRANGE(""https://docs.google.com/spreadsheets/d/1XWAQStnk-4SwqDmLtmXYiTMKHgktTP8We1SCoS47DrQ/edit?usp=sharing"",""จัดที่ดิน!AB53"")"),5.44)</f>
        <v>5.44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83</v>
      </c>
      <c r="K364" s="479">
        <f t="shared" ca="1" si="161"/>
        <v>24.411764705882351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3</v>
      </c>
      <c r="K365" s="491">
        <f t="shared" ca="1" si="161"/>
        <v>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IFERROR(__xludf.DUMMYFUNCTION("IMPORTRANGE(""https://docs.google.com/spreadsheets/d/1XWAQStnk-4SwqDmLtmXYiTMKHgktTP8We1SCoS47DrQ/edit?usp=sharing"",""จัดที่ดิน!E53"")"),42)</f>
        <v>42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IFERROR(__xludf.DUMMYFUNCTION("IMPORTRANGE(""https://docs.google.com/spreadsheets/d/1XWAQStnk-4SwqDmLtmXYiTMKHgktTP8We1SCoS47DrQ/edit?usp=sharing"",""จัดที่ดิน!F53"")"),752.03)</f>
        <v>752.03</v>
      </c>
      <c r="K369" s="497">
        <f t="shared" ca="1" si="163"/>
        <v>75.203000000000003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IFERROR(__xludf.DUMMYFUNCTION("IMPORTRANGE(""https://docs.google.com/spreadsheets/d/1XWAQStnk-4SwqDmLtmXYiTMKHgktTP8We1SCoS47DrQ/edit?usp=sharing"",""จัดที่ดิน!G53"")"),30)</f>
        <v>30</v>
      </c>
      <c r="K370" s="497">
        <f t="shared" ca="1" si="163"/>
        <v>30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IFERROR(__xludf.DUMMYFUNCTION("IMPORTRANGE(""https://docs.google.com/spreadsheets/d/1XWAQStnk-4SwqDmLtmXYiTMKHgktTP8We1SCoS47DrQ/edit?usp=sharing"",""จัดที่ดิน!H53"")"),373.17)</f>
        <v>373.17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IFERROR(__xludf.DUMMYFUNCTION("IMPORTRANGE(""https://docs.google.com/spreadsheets/d/1XWAQStnk-4SwqDmLtmXYiTMKHgktTP8We1SCoS47DrQ/edit?usp=sharing"",""จัดที่ดิน!I53"")"),3)</f>
        <v>3</v>
      </c>
      <c r="K372" s="497">
        <f t="shared" ca="1" si="163"/>
        <v>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IFERROR(__xludf.DUMMYFUNCTION("IMPORTRANGE(""https://docs.google.com/spreadsheets/d/1XWAQStnk-4SwqDmLtmXYiTMKHgktTP8We1SCoS47DrQ/edit?usp=sharing"",""จัดที่ดิน!J53"")"),5.44)</f>
        <v>5.44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80</v>
      </c>
      <c r="K374" s="491">
        <f t="shared" ca="1" si="163"/>
        <v>33.333333333333336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IFERROR(__xludf.DUMMYFUNCTION("IMPORTRANGE(""https://docs.google.com/spreadsheets/d/1XWAQStnk-4SwqDmLtmXYiTMKHgktTP8We1SCoS47DrQ/edit?usp=sharing"",""จัดที่ดิน!AH53"")"),174)</f>
        <v>174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IFERROR(__xludf.DUMMYFUNCTION("IMPORTRANGE(""https://docs.google.com/spreadsheets/d/1XWAQStnk-4SwqDmLtmXYiTMKHgktTP8We1SCoS47DrQ/edit?usp=sharing"",""จัดที่ดิน!AI53"")"),1440.75)</f>
        <v>1440.75</v>
      </c>
      <c r="K378" s="497">
        <f t="shared" ca="1" si="164"/>
        <v>72.037499999999994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IFERROR(__xludf.DUMMYFUNCTION("IMPORTRANGE(""https://docs.google.com/spreadsheets/d/1XWAQStnk-4SwqDmLtmXYiTMKHgktTP8We1SCoS47DrQ/edit?usp=sharing"",""จัดที่ดิน!AJ53"")"),84)</f>
        <v>84</v>
      </c>
      <c r="K379" s="497">
        <f t="shared" ca="1" si="164"/>
        <v>35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IFERROR(__xludf.DUMMYFUNCTION("IMPORTRANGE(""https://docs.google.com/spreadsheets/d/1XWAQStnk-4SwqDmLtmXYiTMKHgktTP8We1SCoS47DrQ/edit?usp=sharing"",""จัดที่ดิน!AK53"")"),1126.14)</f>
        <v>1126.1400000000001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IFERROR(__xludf.DUMMYFUNCTION("IMPORTRANGE(""https://docs.google.com/spreadsheets/d/1XWAQStnk-4SwqDmLtmXYiTMKHgktTP8We1SCoS47DrQ/edit?usp=sharing"",""จัดที่ดิน!AL53"")"),80)</f>
        <v>80</v>
      </c>
      <c r="K381" s="497">
        <f t="shared" ca="1" si="164"/>
        <v>33.333333333333336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IFERROR(__xludf.DUMMYFUNCTION("IMPORTRANGE(""https://docs.google.com/spreadsheets/d/1XWAQStnk-4SwqDmLtmXYiTMKHgktTP8We1SCoS47DrQ/edit?usp=sharing"",""จัดที่ดิน!AM53"")"),1094.66)</f>
        <v>1094.6600000000001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3573261</v>
      </c>
      <c r="M414" s="549">
        <f t="shared" ca="1" si="181"/>
        <v>3573261</v>
      </c>
      <c r="N414" s="549">
        <f t="shared" si="181"/>
        <v>981569.21</v>
      </c>
      <c r="O414" s="549">
        <f ca="1">IF(L414&gt;0,N414*100/L414,0)</f>
        <v>27.469843652618714</v>
      </c>
      <c r="P414" s="549">
        <f ca="1">IF(M414&gt;0,N414*100/M414,0)</f>
        <v>27.469843652618714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ca="1" si="184"/>
        <v>95860</v>
      </c>
      <c r="N419" s="155">
        <f t="shared" si="184"/>
        <v>49200</v>
      </c>
      <c r="O419" s="155">
        <f t="shared" ref="O419:O424" ca="1" si="185">IF(L419&gt;0,N419*100/L419,0)</f>
        <v>51.324848737742542</v>
      </c>
      <c r="P419" s="155">
        <f t="shared" ref="P419:P424" ca="1" si="186">IF(M419&gt;0,N419*100/M419,0)</f>
        <v>51.324848737742542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95860</v>
      </c>
      <c r="M421" s="93">
        <f t="shared" ca="1" si="187"/>
        <v>95860</v>
      </c>
      <c r="N421" s="93">
        <f t="shared" si="187"/>
        <v>49200</v>
      </c>
      <c r="O421" s="93">
        <f t="shared" ca="1" si="185"/>
        <v>51.324848737742542</v>
      </c>
      <c r="P421" s="93">
        <f t="shared" ca="1" si="186"/>
        <v>51.324848737742542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ca="1" si="188"/>
        <v>95860</v>
      </c>
      <c r="N422" s="497">
        <f t="shared" si="188"/>
        <v>49200</v>
      </c>
      <c r="O422" s="497">
        <f t="shared" ca="1" si="185"/>
        <v>51.324848737742542</v>
      </c>
      <c r="P422" s="497">
        <f t="shared" ca="1" si="186"/>
        <v>51.324848737742542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</f>
        <v>95860</v>
      </c>
      <c r="N424" s="93">
        <f>N425+N426+N427+N428</f>
        <v>49200</v>
      </c>
      <c r="O424" s="93">
        <f t="shared" ca="1" si="185"/>
        <v>51.324848737742542</v>
      </c>
      <c r="P424" s="93">
        <f t="shared" ca="1" si="186"/>
        <v>51.324848737742542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49200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75</v>
      </c>
      <c r="J442" s="585">
        <f t="shared" si="195"/>
        <v>75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200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ca="1" si="197"/>
        <v>486400</v>
      </c>
      <c r="N444" s="195">
        <f t="shared" si="197"/>
        <v>193600</v>
      </c>
      <c r="O444" s="195">
        <f t="shared" ref="O444:O449" ca="1" si="198">IF(L444&gt;0,N444*100/L444,0)</f>
        <v>39.80263157894737</v>
      </c>
      <c r="P444" s="195">
        <f t="shared" ref="P444:P449" ca="1" si="199">IF(M444&gt;0,N444*100/M444,0)</f>
        <v>39.80263157894737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486400</v>
      </c>
      <c r="M446" s="93">
        <f t="shared" ca="1" si="200"/>
        <v>486400</v>
      </c>
      <c r="N446" s="93">
        <f t="shared" si="200"/>
        <v>193600</v>
      </c>
      <c r="O446" s="93">
        <f t="shared" ca="1" si="198"/>
        <v>39.80263157894737</v>
      </c>
      <c r="P446" s="93">
        <f t="shared" ca="1" si="199"/>
        <v>39.80263157894737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ca="1" si="201"/>
        <v>486400</v>
      </c>
      <c r="N447" s="497">
        <f t="shared" si="201"/>
        <v>193600</v>
      </c>
      <c r="O447" s="497">
        <f t="shared" ca="1" si="198"/>
        <v>39.80263157894737</v>
      </c>
      <c r="P447" s="497">
        <f t="shared" ca="1" si="199"/>
        <v>39.80263157894737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193600</v>
      </c>
      <c r="O449" s="93">
        <f t="shared" ca="1" si="198"/>
        <v>39.80263157894737</v>
      </c>
      <c r="P449" s="93">
        <f t="shared" ca="1" si="199"/>
        <v>39.80263157894737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97800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17800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ca="1" si="206"/>
        <v>1166838</v>
      </c>
      <c r="N467" s="195">
        <f t="shared" si="206"/>
        <v>266841</v>
      </c>
      <c r="O467" s="195">
        <f t="shared" ref="O467:O472" ca="1" si="207">IF(L467&gt;0,N467*100/L467,0)</f>
        <v>22.868727278336838</v>
      </c>
      <c r="P467" s="195">
        <f t="shared" ref="P467:P472" ca="1" si="208">IF(M467&gt;0,N467*100/M467,0)</f>
        <v>22.868727278336838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1166838</v>
      </c>
      <c r="M469" s="93">
        <f t="shared" ca="1" si="209"/>
        <v>1166838</v>
      </c>
      <c r="N469" s="93">
        <f t="shared" si="209"/>
        <v>266841</v>
      </c>
      <c r="O469" s="93">
        <f t="shared" ca="1" si="207"/>
        <v>22.868727278336838</v>
      </c>
      <c r="P469" s="93">
        <f t="shared" ca="1" si="208"/>
        <v>22.868727278336838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ca="1" si="210"/>
        <v>1166838</v>
      </c>
      <c r="N470" s="497">
        <f t="shared" si="210"/>
        <v>266841</v>
      </c>
      <c r="O470" s="497">
        <f t="shared" ca="1" si="207"/>
        <v>22.868727278336838</v>
      </c>
      <c r="P470" s="497">
        <f t="shared" ca="1" si="208"/>
        <v>22.868727278336838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266841</v>
      </c>
      <c r="O472" s="93">
        <f t="shared" ca="1" si="207"/>
        <v>22.868727278336838</v>
      </c>
      <c r="P472" s="93">
        <f t="shared" ca="1" si="208"/>
        <v>22.868727278336838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78000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29020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122198</v>
      </c>
      <c r="O523" s="195">
        <f t="shared" ref="O523:O528" ca="1" si="227">IF(L523&gt;0,N523*100/L523,0)</f>
        <v>28.587002292612173</v>
      </c>
      <c r="P523" s="195">
        <f t="shared" ref="P523:P528" ca="1" si="228">IF(M523&gt;0,N523*100/M523,0)</f>
        <v>28.587002292612173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122198</v>
      </c>
      <c r="O525" s="93">
        <f t="shared" ca="1" si="227"/>
        <v>28.587002292612173</v>
      </c>
      <c r="P525" s="93">
        <f t="shared" ca="1" si="228"/>
        <v>28.587002292612173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122198</v>
      </c>
      <c r="O526" s="497">
        <f t="shared" ca="1" si="227"/>
        <v>28.587002292612173</v>
      </c>
      <c r="P526" s="497">
        <f t="shared" ca="1" si="228"/>
        <v>28.587002292612173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122198</v>
      </c>
      <c r="O528" s="93">
        <f t="shared" ca="1" si="227"/>
        <v>28.587002292612173</v>
      </c>
      <c r="P528" s="93">
        <f t="shared" ca="1" si="228"/>
        <v>28.587002292612173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109713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12485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62938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ca="1" si="236"/>
        <v>989703</v>
      </c>
      <c r="N544" s="155">
        <f t="shared" si="236"/>
        <v>233926.21</v>
      </c>
      <c r="O544" s="155">
        <f t="shared" ref="O544:O549" ca="1" si="237">IF(L544&gt;0,N544*100/L544,0)</f>
        <v>23.636000901280486</v>
      </c>
      <c r="P544" s="155">
        <f t="shared" ref="P544:P549" ca="1" si="238">IF(M544&gt;0,N544*100/M544,0)</f>
        <v>23.636000901280486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989703</v>
      </c>
      <c r="M546" s="93">
        <f t="shared" ca="1" si="240"/>
        <v>989703</v>
      </c>
      <c r="N546" s="93">
        <f t="shared" si="240"/>
        <v>233926.21</v>
      </c>
      <c r="O546" s="93">
        <f t="shared" ca="1" si="237"/>
        <v>23.636000901280486</v>
      </c>
      <c r="P546" s="93">
        <f t="shared" ca="1" si="238"/>
        <v>23.636000901280486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ca="1" si="241"/>
        <v>989703</v>
      </c>
      <c r="N547" s="497">
        <f t="shared" si="241"/>
        <v>233926.21</v>
      </c>
      <c r="O547" s="497">
        <f t="shared" ca="1" si="237"/>
        <v>23.636000901280486</v>
      </c>
      <c r="P547" s="497">
        <f t="shared" ca="1" si="238"/>
        <v>23.636000901280486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f ca="1">L549</f>
        <v>989703</v>
      </c>
      <c r="N549" s="93">
        <f>N550+N551+N552+N553+N554</f>
        <v>233926.21</v>
      </c>
      <c r="O549" s="93">
        <f t="shared" ca="1" si="237"/>
        <v>23.636000901280486</v>
      </c>
      <c r="P549" s="93">
        <f t="shared" ca="1" si="238"/>
        <v>23.636000901280486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155926.21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62938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62937.732499999998</v>
      </c>
      <c r="K560" s="411">
        <f t="shared" ca="1" si="246"/>
        <v>99.999574978550314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4165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6">
        <f t="shared" ref="J568:J569" si="248">J570+J572+J574</f>
        <v>62939</v>
      </c>
      <c r="K568" s="411">
        <f t="shared" ref="K568:K569" ca="1" si="249">IF(I568&gt;0,J568*100/I568,0)</f>
        <v>100.00158886523245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6">
        <f t="shared" si="248"/>
        <v>4165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58451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3879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286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36174.33</v>
      </c>
      <c r="J592" s="703">
        <f t="shared" si="253"/>
        <v>8253</v>
      </c>
      <c r="K592" s="672">
        <f t="shared" ref="K592:K594" ca="1" si="254">IF(I592&gt;0,J592*100/I592,0)</f>
        <v>22.814520683589716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ca="1" si="263"/>
        <v>380400</v>
      </c>
      <c r="N629" s="195">
        <f t="shared" si="263"/>
        <v>114189</v>
      </c>
      <c r="O629" s="195">
        <f t="shared" ref="O629:O634" ca="1" si="264">IF(L629&gt;0,N629*100/L629,0)</f>
        <v>30.018138801261831</v>
      </c>
      <c r="P629" s="195">
        <f t="shared" ref="P629:P634" ca="1" si="265">IF(M629&gt;0,N629*100/M629,0)</f>
        <v>30.018138801261831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380400</v>
      </c>
      <c r="M631" s="93">
        <f t="shared" ca="1" si="266"/>
        <v>380400</v>
      </c>
      <c r="N631" s="93">
        <f t="shared" si="266"/>
        <v>114189</v>
      </c>
      <c r="O631" s="93">
        <f t="shared" ca="1" si="264"/>
        <v>30.018138801261831</v>
      </c>
      <c r="P631" s="93">
        <f t="shared" ca="1" si="265"/>
        <v>30.018138801261831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ca="1" si="267"/>
        <v>380400</v>
      </c>
      <c r="N632" s="497">
        <f t="shared" si="267"/>
        <v>114189</v>
      </c>
      <c r="O632" s="497">
        <f t="shared" ca="1" si="264"/>
        <v>30.018138801261831</v>
      </c>
      <c r="P632" s="497">
        <f t="shared" ca="1" si="265"/>
        <v>30.018138801261831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</f>
        <v>380400</v>
      </c>
      <c r="N634" s="93">
        <f>N635+N636+N637+N638</f>
        <v>114189</v>
      </c>
      <c r="O634" s="93">
        <f t="shared" ca="1" si="264"/>
        <v>30.018138801261831</v>
      </c>
      <c r="P634" s="93">
        <f t="shared" ca="1" si="265"/>
        <v>30.018138801261831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77134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37055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IFERROR(__xludf.DUMMYFUNCTION("IMPORTRANGE(""https://docs.google.com/spreadsheets/d/1XWAQStnk-4SwqDmLtmXYiTMKHgktTP8We1SCoS47DrQ/edit?usp=sharing"",""จัดที่ดิน!AT53"")"),51.94)</f>
        <v>51.94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200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ca="1" si="273"/>
        <v>20000</v>
      </c>
      <c r="N655" s="195">
        <f t="shared" si="273"/>
        <v>1615</v>
      </c>
      <c r="O655" s="195">
        <f t="shared" ref="O655:O660" ca="1" si="274">IF(L655&gt;0,N655*100/L655,0)</f>
        <v>8.0749999999999993</v>
      </c>
      <c r="P655" s="195">
        <f t="shared" ref="P655:P660" ca="1" si="275">IF(M655&gt;0,N655*100/M655,0)</f>
        <v>8.0749999999999993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20000</v>
      </c>
      <c r="M657" s="93">
        <f t="shared" ca="1" si="276"/>
        <v>20000</v>
      </c>
      <c r="N657" s="93">
        <f t="shared" si="276"/>
        <v>1615</v>
      </c>
      <c r="O657" s="93">
        <f t="shared" ca="1" si="274"/>
        <v>8.0749999999999993</v>
      </c>
      <c r="P657" s="93">
        <f t="shared" ca="1" si="275"/>
        <v>8.0749999999999993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ca="1" si="277"/>
        <v>20000</v>
      </c>
      <c r="N658" s="497">
        <f t="shared" si="277"/>
        <v>1615</v>
      </c>
      <c r="O658" s="497">
        <f t="shared" ca="1" si="274"/>
        <v>8.0749999999999993</v>
      </c>
      <c r="P658" s="497">
        <f t="shared" ca="1" si="275"/>
        <v>8.0749999999999993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</f>
        <v>20000</v>
      </c>
      <c r="N660" s="93">
        <f>N661+N662+N663+N664</f>
        <v>1615</v>
      </c>
      <c r="O660" s="93">
        <f t="shared" ca="1" si="274"/>
        <v>8.0749999999999993</v>
      </c>
      <c r="P660" s="93">
        <f t="shared" ca="1" si="275"/>
        <v>8.0749999999999993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1615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1</v>
      </c>
      <c r="K670" s="497">
        <f ca="1">IF(I670&gt;0,(J670*100)/I670,0)</f>
        <v>20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1</v>
      </c>
      <c r="K671" s="497">
        <f ca="1">IF(I$671&gt;0,J671*100/I$671,0)</f>
        <v>20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ca="1" si="282"/>
        <v>6600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6600</v>
      </c>
      <c r="M687" s="93">
        <f t="shared" ca="1" si="285"/>
        <v>6600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ca="1" si="286"/>
        <v>6600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9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IFERROR(__xludf.DUMMYFUNCTION("IMPORTRANGE(""https://docs.google.com/spreadsheets/d/19vJNZY_5yjcGF2XGBMNZRCAIB0Kwfpjp8YEOfu-bneM/edit?usp=sharing"",""งานกองทุน!F53"")"),1202599.73)</f>
        <v>1202599.73</v>
      </c>
      <c r="K821" s="497">
        <f t="shared" ref="K821:K828" ca="1" si="335">IF(I821&gt;0,J821*100/I821,0)</f>
        <v>57.195847257147705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IFERROR(__xludf.DUMMYFUNCTION("IMPORTRANGE(""https://docs.google.com/spreadsheets/d/19vJNZY_5yjcGF2XGBMNZRCAIB0Kwfpjp8YEOfu-bneM/edit?usp=sharing"",""งานกองทุน!E53"")"),41)</f>
        <v>41</v>
      </c>
      <c r="K822" s="497">
        <f t="shared" ca="1" si="335"/>
        <v>57.74647887323944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IFERROR(__xludf.DUMMYFUNCTION("IMPORTRANGE(""https://docs.google.com/spreadsheets/d/19vJNZY_5yjcGF2XGBMNZRCAIB0Kwfpjp8YEOfu-bneM/edit?usp=sharing"",""งานกองทุน!K53"")"),465799.88)</f>
        <v>465799.88</v>
      </c>
      <c r="K823" s="497">
        <f t="shared" ca="1" si="335"/>
        <v>2.3836867604547551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IFERROR(__xludf.DUMMYFUNCTION("IMPORTRANGE(""https://docs.google.com/spreadsheets/d/19vJNZY_5yjcGF2XGBMNZRCAIB0Kwfpjp8YEOfu-bneM/edit?usp=sharing"",""งานกองทุน!J53"")"),61)</f>
        <v>61</v>
      </c>
      <c r="K824" s="497">
        <f t="shared" ca="1" si="335"/>
        <v>9.1180866965620329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IFERROR(__xludf.DUMMYFUNCTION("IMPORTRANGE(""https://docs.google.com/spreadsheets/d/19vJNZY_5yjcGF2XGBMNZRCAIB0Kwfpjp8YEOfu-bneM/edit?usp=sharing"",""งานกองทุน!P53"")"),163606.89)</f>
        <v>163606.89000000001</v>
      </c>
      <c r="K825" s="497">
        <f t="shared" ca="1" si="335"/>
        <v>23.514902416114843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IFERROR(__xludf.DUMMYFUNCTION("IMPORTRANGE(""https://docs.google.com/spreadsheets/d/19vJNZY_5yjcGF2XGBMNZRCAIB0Kwfpjp8YEOfu-bneM/edit?usp=sharing"",""งานกองทุน!O53"")"),56)</f>
        <v>56</v>
      </c>
      <c r="K826" s="497">
        <f t="shared" ca="1" si="335"/>
        <v>26.168224299065422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IFERROR(__xludf.DUMMYFUNCTION("IMPORTRANGE(""https://docs.google.com/spreadsheets/d/19vJNZY_5yjcGF2XGBMNZRCAIB0Kwfpjp8YEOfu-bneM/edit?usp=sharing"",""งานกองทุน!U53"")"),1350000)</f>
        <v>1350000</v>
      </c>
      <c r="K827" s="497">
        <f t="shared" ca="1" si="335"/>
        <v>33.333333333333336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IFERROR(__xludf.DUMMYFUNCTION("IMPORTRANGE(""https://docs.google.com/spreadsheets/d/19vJNZY_5yjcGF2XGBMNZRCAIB0Kwfpjp8YEOfu-bneM/edit?usp=sharing"",""งานกองทุน!T53"")"),27)</f>
        <v>27</v>
      </c>
      <c r="K828" s="502">
        <f t="shared" ca="1" si="335"/>
        <v>16.666666666666668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E8EEF-E176-4868-8FC5-63F53D71D10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1767540</v>
      </c>
      <c r="N8" s="22">
        <f t="shared" ca="1" si="0"/>
        <v>1384051.2</v>
      </c>
      <c r="O8" s="22">
        <f t="shared" ref="O8:O16" ca="1" si="1">IF(L8&gt;0,N8*100/L8,0)</f>
        <v>64.313899699120597</v>
      </c>
      <c r="P8" s="22">
        <f t="shared" ref="P8:P16" ca="1" si="2">IF(M8&gt;0,N8*100/M8,0)</f>
        <v>78.303812077803045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1767540</v>
      </c>
      <c r="N10" s="30">
        <f t="shared" ca="1" si="3"/>
        <v>1384051.2</v>
      </c>
      <c r="O10" s="30">
        <f t="shared" ca="1" si="1"/>
        <v>64.313899699120597</v>
      </c>
      <c r="P10" s="30">
        <f t="shared" ca="1" si="2"/>
        <v>78.303812077803045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1715500</v>
      </c>
      <c r="N11" s="497">
        <f t="shared" ca="1" si="4"/>
        <v>1332011.2</v>
      </c>
      <c r="O11" s="497">
        <f t="shared" ca="1" si="1"/>
        <v>63.452521763984329</v>
      </c>
      <c r="P11" s="497">
        <f t="shared" ca="1" si="2"/>
        <v>77.645654328184207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1715500</v>
      </c>
      <c r="N13" s="93">
        <f t="shared" ca="1" si="5"/>
        <v>1332011.2</v>
      </c>
      <c r="O13" s="93">
        <f t="shared" ca="1" si="1"/>
        <v>63.452521763984329</v>
      </c>
      <c r="P13" s="93">
        <f t="shared" ca="1" si="2"/>
        <v>77.645654328184207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1624040</v>
      </c>
      <c r="N18" s="22">
        <f t="shared" ca="1" si="8"/>
        <v>1301795.2</v>
      </c>
      <c r="O18" s="22">
        <f t="shared" ref="O18:O26" ca="1" si="9">IF(L18&gt;0,N18*100/L18,0)</f>
        <v>64.81349248826875</v>
      </c>
      <c r="P18" s="22">
        <f t="shared" ref="P18:P26" ca="1" si="10">IF(M18&gt;0,N18*100/M18,0)</f>
        <v>80.157828624910721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1624040</v>
      </c>
      <c r="N20" s="30">
        <f t="shared" ca="1" si="11"/>
        <v>1301795.2</v>
      </c>
      <c r="O20" s="30">
        <f t="shared" ca="1" si="9"/>
        <v>64.81349248826875</v>
      </c>
      <c r="P20" s="30">
        <f t="shared" ca="1" si="10"/>
        <v>80.157828624910721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1572000</v>
      </c>
      <c r="N21" s="497">
        <f t="shared" ca="1" si="12"/>
        <v>1249755.2</v>
      </c>
      <c r="O21" s="497">
        <f t="shared" ca="1" si="9"/>
        <v>63.90239936596403</v>
      </c>
      <c r="P21" s="497">
        <f t="shared" ca="1" si="10"/>
        <v>79.500966921119598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1572000</v>
      </c>
      <c r="N23" s="93">
        <f t="shared" ca="1" si="13"/>
        <v>1249755.2</v>
      </c>
      <c r="O23" s="93">
        <f t="shared" ca="1" si="9"/>
        <v>63.90239936596403</v>
      </c>
      <c r="P23" s="93">
        <f t="shared" ca="1" si="10"/>
        <v>79.500966921119598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82256</v>
      </c>
      <c r="O28" s="22">
        <f t="shared" ref="O28:O37" ca="1" si="17">IF(L28&gt;0,N28*100/L28,0)</f>
        <v>57.321254355400697</v>
      </c>
      <c r="P28" s="22">
        <f t="shared" ref="P28:P37" ca="1" si="18">IF(M28&gt;0,N28*100/M28,0)</f>
        <v>57.321254355400697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82256</v>
      </c>
      <c r="O30" s="30">
        <f t="shared" ca="1" si="17"/>
        <v>57.321254355400697</v>
      </c>
      <c r="P30" s="30">
        <f t="shared" ca="1" si="18"/>
        <v>57.321254355400697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143500</v>
      </c>
      <c r="N31" s="497">
        <f t="shared" si="20"/>
        <v>82256</v>
      </c>
      <c r="O31" s="497">
        <f t="shared" ca="1" si="17"/>
        <v>57.321254355400697</v>
      </c>
      <c r="P31" s="497">
        <f t="shared" ca="1" si="18"/>
        <v>57.321254355400697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143500</v>
      </c>
      <c r="N33" s="93">
        <f t="shared" si="21"/>
        <v>82256</v>
      </c>
      <c r="O33" s="93">
        <f t="shared" ca="1" si="17"/>
        <v>57.321254355400697</v>
      </c>
      <c r="P33" s="93">
        <f t="shared" ca="1" si="18"/>
        <v>57.321254355400697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1624040</v>
      </c>
      <c r="N37" s="59">
        <f t="shared" ca="1" si="24"/>
        <v>1301795.2</v>
      </c>
      <c r="O37" s="59">
        <f t="shared" ca="1" si="17"/>
        <v>64.81349248826875</v>
      </c>
      <c r="P37" s="59">
        <f t="shared" ca="1" si="18"/>
        <v>80.157828624910721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312210</v>
      </c>
      <c r="N41" s="85">
        <f t="shared" ca="1" si="25"/>
        <v>205830</v>
      </c>
      <c r="O41" s="85">
        <f t="shared" ref="O41:O49" ca="1" si="26">IF(L41&gt;0,N41*100/L41,0)</f>
        <v>67.998017839444998</v>
      </c>
      <c r="P41" s="85">
        <f t="shared" ref="P41:P49" ca="1" si="27">IF(M41&gt;0,N41*100/M41,0)</f>
        <v>65.926780051888159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312210</v>
      </c>
      <c r="N43" s="92">
        <f t="shared" ca="1" si="28"/>
        <v>205830</v>
      </c>
      <c r="O43" s="92">
        <f t="shared" ca="1" si="26"/>
        <v>67.998017839444998</v>
      </c>
      <c r="P43" s="92">
        <f t="shared" ca="1" si="27"/>
        <v>65.926780051888159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312210</v>
      </c>
      <c r="N44" s="497">
        <f t="shared" ca="1" si="29"/>
        <v>205830</v>
      </c>
      <c r="O44" s="497">
        <f t="shared" ca="1" si="26"/>
        <v>67.998017839444998</v>
      </c>
      <c r="P44" s="497">
        <f t="shared" ca="1" si="27"/>
        <v>65.926780051888159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IFERROR(__xludf.DUMMYFUNCTION("IMPORTRANGE(""https://docs.google.com/spreadsheets/d/1MeEWN-I1oV_STSDYn1IFDPWt_1FKiwhDph83XaGc0o0/edit?usp=sharing"",""งบพรบ!R71"")"),312210)</f>
        <v>312210</v>
      </c>
      <c r="N46" s="93">
        <f ca="1">IFERROR(__xludf.DUMMYFUNCTION("IMPORTRANGE(""https://docs.google.com/spreadsheets/d/1MeEWN-I1oV_STSDYn1IFDPWt_1FKiwhDph83XaGc0o0/edit?usp=sharing"",""งบพรบ!T71"")"),205830)</f>
        <v>205830</v>
      </c>
      <c r="O46" s="93">
        <f t="shared" ca="1" si="26"/>
        <v>67.998017839444998</v>
      </c>
      <c r="P46" s="93">
        <f t="shared" ca="1" si="27"/>
        <v>65.926780051888159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665925</v>
      </c>
      <c r="N53" s="116">
        <f t="shared" ca="1" si="31"/>
        <v>567817.92000000004</v>
      </c>
      <c r="O53" s="116">
        <f t="shared" ref="O53:O61" ca="1" si="32">IF(L53&gt;0,N53*100/L53,0)</f>
        <v>63.95066111048542</v>
      </c>
      <c r="P53" s="116">
        <f t="shared" ref="P53:P61" ca="1" si="33">IF(M53&gt;0,N53*100/M53,0)</f>
        <v>85.267548147313903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665925</v>
      </c>
      <c r="N55" s="123">
        <f t="shared" ca="1" si="34"/>
        <v>567817.92000000004</v>
      </c>
      <c r="O55" s="123">
        <f t="shared" ca="1" si="32"/>
        <v>63.95066111048542</v>
      </c>
      <c r="P55" s="123">
        <f t="shared" ca="1" si="33"/>
        <v>85.267548147313903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665925</v>
      </c>
      <c r="N56" s="497">
        <f t="shared" ca="1" si="35"/>
        <v>567817.92000000004</v>
      </c>
      <c r="O56" s="497">
        <f t="shared" ca="1" si="32"/>
        <v>63.95066111048542</v>
      </c>
      <c r="P56" s="497">
        <f t="shared" ca="1" si="33"/>
        <v>85.267548147313903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IFERROR(__xludf.DUMMYFUNCTION("IMPORTRANGE(""https://docs.google.com/spreadsheets/d/1MeEWN-I1oV_STSDYn1IFDPWt_1FKiwhDph83XaGc0o0/edit?usp=sharing"",""งบพรบ!AB71"")"),665925)</f>
        <v>665925</v>
      </c>
      <c r="N58" s="93">
        <f ca="1">IFERROR(__xludf.DUMMYFUNCTION("IMPORTRANGE(""https://docs.google.com/spreadsheets/d/1MeEWN-I1oV_STSDYn1IFDPWt_1FKiwhDph83XaGc0o0/edit?usp=sharing"",""งบพรบ!AD71"")"),567817.92)</f>
        <v>567817.92000000004</v>
      </c>
      <c r="O58" s="93">
        <f t="shared" ca="1" si="32"/>
        <v>63.95066111048542</v>
      </c>
      <c r="P58" s="93">
        <f t="shared" ca="1" si="33"/>
        <v>85.267548147313903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136850</v>
      </c>
      <c r="N88" s="155">
        <f t="shared" ca="1" si="49"/>
        <v>111243.56</v>
      </c>
      <c r="O88" s="155">
        <f t="shared" ref="O88:O96" ca="1" si="50">IF(L88&gt;0,N88*100/L88,0)</f>
        <v>63.749891117478512</v>
      </c>
      <c r="P88" s="155">
        <f t="shared" ref="P88:P96" ca="1" si="51">IF(M88&gt;0,N88*100/M88,0)</f>
        <v>81.288681037632443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136850</v>
      </c>
      <c r="N90" s="93">
        <f t="shared" ca="1" si="52"/>
        <v>111243.56</v>
      </c>
      <c r="O90" s="93">
        <f t="shared" ca="1" si="50"/>
        <v>63.749891117478512</v>
      </c>
      <c r="P90" s="93">
        <f t="shared" ca="1" si="51"/>
        <v>81.288681037632443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136850</v>
      </c>
      <c r="N91" s="497">
        <f t="shared" ca="1" si="53"/>
        <v>111243.56</v>
      </c>
      <c r="O91" s="497">
        <f t="shared" ca="1" si="50"/>
        <v>63.749891117478512</v>
      </c>
      <c r="P91" s="497">
        <f t="shared" ca="1" si="51"/>
        <v>81.288681037632443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IFERROR(__xludf.DUMMYFUNCTION("IMPORTRANGE(""https://docs.google.com/spreadsheets/d/1MeEWN-I1oV_STSDYn1IFDPWt_1FKiwhDph83XaGc0o0/edit?usp=sharing"",""งบพรบ!AV71"")"),136850)</f>
        <v>136850</v>
      </c>
      <c r="N93" s="93">
        <f ca="1">IFERROR(__xludf.DUMMYFUNCTION("IMPORTRANGE(""https://docs.google.com/spreadsheets/d/1MeEWN-I1oV_STSDYn1IFDPWt_1FKiwhDph83XaGc0o0/edit?usp=sharing"",""งบพรบ!AX71"")"),111243.56)</f>
        <v>111243.56</v>
      </c>
      <c r="O93" s="93">
        <f t="shared" ca="1" si="50"/>
        <v>63.749891117478512</v>
      </c>
      <c r="P93" s="93">
        <f t="shared" ca="1" si="51"/>
        <v>81.288681037632443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32325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32325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32325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IFERROR(__xludf.DUMMYFUNCTION("IMPORTRANGE(""https://docs.google.com/spreadsheets/d/1MeEWN-I1oV_STSDYn1IFDPWt_1FKiwhDph83XaGc0o0/edit?usp=sharing"",""งบพรบ!CJ71"")"),32325)</f>
        <v>32325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7500</v>
      </c>
      <c r="N181" s="155">
        <f t="shared" ca="1" si="92"/>
        <v>4472</v>
      </c>
      <c r="O181" s="155">
        <f t="shared" ref="O181:O189" ca="1" si="93">IF(L181&gt;0,N181*100/L181,0)</f>
        <v>35.776000000000003</v>
      </c>
      <c r="P181" s="155">
        <f t="shared" ref="P181:P189" ca="1" si="94">IF(M181&gt;0,N181*100/M181,0)</f>
        <v>59.626666666666665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7500</v>
      </c>
      <c r="N183" s="93">
        <f t="shared" ca="1" si="95"/>
        <v>4472</v>
      </c>
      <c r="O183" s="93">
        <f t="shared" ca="1" si="93"/>
        <v>35.776000000000003</v>
      </c>
      <c r="P183" s="93">
        <f t="shared" ca="1" si="94"/>
        <v>59.626666666666665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7500</v>
      </c>
      <c r="N184" s="497">
        <f t="shared" ca="1" si="96"/>
        <v>4472</v>
      </c>
      <c r="O184" s="497">
        <f t="shared" ca="1" si="93"/>
        <v>35.776000000000003</v>
      </c>
      <c r="P184" s="497">
        <f t="shared" ca="1" si="94"/>
        <v>59.626666666666665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IFERROR(__xludf.DUMMYFUNCTION("IMPORTRANGE(""https://docs.google.com/spreadsheets/d/1MeEWN-I1oV_STSDYn1IFDPWt_1FKiwhDph83XaGc0o0/edit?usp=sharing"",""งบพรบ!CT71"")"),7500)</f>
        <v>7500</v>
      </c>
      <c r="N186" s="93">
        <f ca="1">IFERROR(__xludf.DUMMYFUNCTION("IMPORTRANGE(""https://docs.google.com/spreadsheets/d/1MeEWN-I1oV_STSDYn1IFDPWt_1FKiwhDph83XaGc0o0/edit?usp=sharing"",""งบพรบ!CV71"")"),4472)</f>
        <v>4472</v>
      </c>
      <c r="O186" s="93">
        <f t="shared" ca="1" si="93"/>
        <v>35.776000000000003</v>
      </c>
      <c r="P186" s="93">
        <f t="shared" ca="1" si="94"/>
        <v>59.626666666666665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4472</v>
      </c>
      <c r="O191" s="155">
        <f ca="1">IF(L191&gt;0,N191*100/L191,0)</f>
        <v>74.533333333333331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86666.67</v>
      </c>
      <c r="O261" s="155">
        <f t="shared" ref="O261:O269" ca="1" si="116">IF(L261&gt;0,N261*100/L261,0)</f>
        <v>54.679287066246054</v>
      </c>
      <c r="P261" s="155">
        <f t="shared" ref="P261:P269" ca="1" si="117">IF(M261&gt;0,N261*100/M261,0)</f>
        <v>74.391991416309011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86666.67</v>
      </c>
      <c r="O263" s="93">
        <f t="shared" ca="1" si="116"/>
        <v>54.679287066246054</v>
      </c>
      <c r="P263" s="93">
        <f t="shared" ca="1" si="117"/>
        <v>74.391991416309011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86666.67</v>
      </c>
      <c r="O264" s="497">
        <f t="shared" ca="1" si="116"/>
        <v>54.679287066246054</v>
      </c>
      <c r="P264" s="497">
        <f t="shared" ca="1" si="117"/>
        <v>74.391991416309011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IFERROR(__xludf.DUMMYFUNCTION("IMPORTRANGE(""https://docs.google.com/spreadsheets/d/1MeEWN-I1oV_STSDYn1IFDPWt_1FKiwhDph83XaGc0o0/edit?usp=sharing"",""งบพรบ!DD71"")"),116500)</f>
        <v>116500</v>
      </c>
      <c r="N266" s="93">
        <f ca="1">IFERROR(__xludf.DUMMYFUNCTION("IMPORTRANGE(""https://docs.google.com/spreadsheets/d/1MeEWN-I1oV_STSDYn1IFDPWt_1FKiwhDph83XaGc0o0/edit?usp=sharing"",""งบพรบ!DF71"")"),86666.67)</f>
        <v>86666.67</v>
      </c>
      <c r="O266" s="93">
        <f t="shared" ca="1" si="116"/>
        <v>54.679287066246054</v>
      </c>
      <c r="P266" s="93">
        <f t="shared" ca="1" si="117"/>
        <v>74.391991416309011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41</v>
      </c>
      <c r="K327" s="445">
        <f ca="1">IF(I327&gt;0,J327*100/I327,0)</f>
        <v>82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216700.05</v>
      </c>
      <c r="O328" s="155">
        <f t="shared" ref="O328:O336" ca="1" si="149">IF(L328&gt;0,N328*100/L328,0)</f>
        <v>61.283950791855204</v>
      </c>
      <c r="P328" s="155">
        <f t="shared" ref="P328:P336" ca="1" si="150">IF(M328&gt;0,N328*100/M328,0)</f>
        <v>80.948841987299218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216700.05</v>
      </c>
      <c r="O330" s="93">
        <f t="shared" ca="1" si="149"/>
        <v>61.283950791855204</v>
      </c>
      <c r="P330" s="93">
        <f t="shared" ca="1" si="150"/>
        <v>80.948841987299218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216700.05</v>
      </c>
      <c r="O331" s="497">
        <f t="shared" ca="1" si="149"/>
        <v>61.283950791855204</v>
      </c>
      <c r="P331" s="497">
        <f t="shared" ca="1" si="150"/>
        <v>80.948841987299218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IFERROR(__xludf.DUMMYFUNCTION("IMPORTRANGE(""https://docs.google.com/spreadsheets/d/1MeEWN-I1oV_STSDYn1IFDPWt_1FKiwhDph83XaGc0o0/edit?usp=sharing"",""งบพรบ!ER71"")"),267700)</f>
        <v>267700</v>
      </c>
      <c r="N333" s="93">
        <f ca="1">IFERROR(__xludf.DUMMYFUNCTION("IMPORTRANGE(""https://docs.google.com/spreadsheets/d/1MeEWN-I1oV_STSDYn1IFDPWt_1FKiwhDph83XaGc0o0/edit?usp=sharing"",""งบพรบ!ET71"")"),216700.05)</f>
        <v>216700.05</v>
      </c>
      <c r="O333" s="93">
        <f t="shared" ca="1" si="149"/>
        <v>61.283950791855204</v>
      </c>
      <c r="P333" s="93">
        <f t="shared" ca="1" si="150"/>
        <v>80.948841987299218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IFERROR(__xludf.DUMMYFUNCTION("IMPORTRANGE(""https://docs.google.com/spreadsheets/d/1kVcqe37tkHyjCSG3S0O1AXqVkqjo8mSIZil3BcpIysc/edit?usp=sharing"",""ศูนย์!D71"")"),24)</f>
        <v>24</v>
      </c>
      <c r="K338" s="497">
        <f ca="1">IF(I338&gt;0,J338*100/I338,0)</f>
        <v>48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85030</v>
      </c>
      <c r="N345" s="155">
        <f t="shared" ca="1" si="154"/>
        <v>76740</v>
      </c>
      <c r="O345" s="155">
        <f t="shared" ref="O345:O353" ca="1" si="155">IF(L345&gt;0,N345*100/L345,0)</f>
        <v>79.301436395577142</v>
      </c>
      <c r="P345" s="155">
        <f t="shared" ref="P345:P353" ca="1" si="156">IF(M345&gt;0,N345*100/M345,0)</f>
        <v>90.250499823591667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85030</v>
      </c>
      <c r="N347" s="93">
        <f t="shared" ca="1" si="157"/>
        <v>76740</v>
      </c>
      <c r="O347" s="93">
        <f t="shared" ca="1" si="155"/>
        <v>79.301436395577142</v>
      </c>
      <c r="P347" s="93">
        <f t="shared" ca="1" si="156"/>
        <v>90.250499823591667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32990</v>
      </c>
      <c r="N348" s="497">
        <f t="shared" ca="1" si="158"/>
        <v>24700</v>
      </c>
      <c r="O348" s="497">
        <f t="shared" ca="1" si="155"/>
        <v>56.174664544007278</v>
      </c>
      <c r="P348" s="497">
        <f t="shared" ca="1" si="156"/>
        <v>74.87117308275235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IFERROR(__xludf.DUMMYFUNCTION("IMPORTRANGE(""https://docs.google.com/spreadsheets/d/1MeEWN-I1oV_STSDYn1IFDPWt_1FKiwhDph83XaGc0o0/edit?usp=sharing"",""งบพรบ!FB71"")"),32990)</f>
        <v>32990</v>
      </c>
      <c r="N350" s="93">
        <f ca="1">IFERROR(__xludf.DUMMYFUNCTION("IMPORTRANGE(""https://docs.google.com/spreadsheets/d/1MeEWN-I1oV_STSDYn1IFDPWt_1FKiwhDph83XaGc0o0/edit?usp=sharing"",""งบพรบ!FD71"")"),24700)</f>
        <v>24700</v>
      </c>
      <c r="O350" s="93">
        <f t="shared" ca="1" si="155"/>
        <v>56.174664544007278</v>
      </c>
      <c r="P350" s="93">
        <f t="shared" ca="1" si="156"/>
        <v>74.87117308275235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143500</v>
      </c>
      <c r="N414" s="549">
        <f t="shared" si="180"/>
        <v>82256</v>
      </c>
      <c r="O414" s="549">
        <f ca="1">IF(L414&gt;0,N414*100/L414,0)</f>
        <v>57.321254355400697</v>
      </c>
      <c r="P414" s="549">
        <f ca="1">IF(M414&gt;0,N414*100/M414,0)</f>
        <v>57.321254355400697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54005</v>
      </c>
      <c r="O419" s="155">
        <f t="shared" ref="O419:O424" ca="1" si="184">IF(L419&gt;0,N419*100/L419,0)</f>
        <v>98.982771260997069</v>
      </c>
      <c r="P419" s="155">
        <f t="shared" ref="P419:P424" ca="1" si="185">IF(M419&gt;0,N419*100/M419,0)</f>
        <v>98.982771260997069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54005</v>
      </c>
      <c r="O421" s="93">
        <f t="shared" ca="1" si="184"/>
        <v>98.982771260997069</v>
      </c>
      <c r="P421" s="93">
        <f t="shared" ca="1" si="185"/>
        <v>98.982771260997069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54005</v>
      </c>
      <c r="O422" s="497">
        <f t="shared" ca="1" si="184"/>
        <v>98.982771260997069</v>
      </c>
      <c r="P422" s="497">
        <f t="shared" ca="1" si="185"/>
        <v>98.982771260997069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</f>
        <v>54560</v>
      </c>
      <c r="N424" s="93">
        <f>N425+N426+N427+N428</f>
        <v>54005</v>
      </c>
      <c r="O424" s="93">
        <f t="shared" ca="1" si="184"/>
        <v>98.982771260997069</v>
      </c>
      <c r="P424" s="93">
        <f t="shared" ca="1" si="185"/>
        <v>98.982771260997069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10513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ca="1" si="237">IF(M544&gt;0,N544*100/M544,0)</f>
        <v>12.217795484727755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9200</v>
      </c>
      <c r="O546" s="93">
        <f t="shared" ca="1" si="236"/>
        <v>12.217795484727755</v>
      </c>
      <c r="P546" s="93">
        <f t="shared" ca="1" si="237"/>
        <v>12.217795484727755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75300</v>
      </c>
      <c r="N547" s="497">
        <f t="shared" si="240"/>
        <v>9200</v>
      </c>
      <c r="O547" s="497">
        <f t="shared" ca="1" si="236"/>
        <v>12.217795484727755</v>
      </c>
      <c r="P547" s="497">
        <f t="shared" ca="1" si="237"/>
        <v>12.217795484727755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</f>
        <v>75300</v>
      </c>
      <c r="N549" s="93">
        <f>N550+N551+N552+N553+N554</f>
        <v>9200</v>
      </c>
      <c r="O549" s="93">
        <f t="shared" ca="1" si="236"/>
        <v>12.217795484727755</v>
      </c>
      <c r="P549" s="93">
        <f t="shared" ca="1" si="237"/>
        <v>12.217795484727755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19051</v>
      </c>
      <c r="O655" s="195">
        <f t="shared" ref="O655:O660" ca="1" si="273">IF(L655&gt;0,N655*100/L655,0)</f>
        <v>153.63709677419354</v>
      </c>
      <c r="P655" s="195">
        <f t="shared" ref="P655:P660" ca="1" si="274">IF(M655&gt;0,N655*100/M655,0)</f>
        <v>153.63709677419354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19051</v>
      </c>
      <c r="O657" s="93">
        <f t="shared" ca="1" si="273"/>
        <v>153.63709677419354</v>
      </c>
      <c r="P657" s="93">
        <f t="shared" ca="1" si="274"/>
        <v>153.63709677419354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19051</v>
      </c>
      <c r="O658" s="497">
        <f t="shared" ca="1" si="273"/>
        <v>153.63709677419354</v>
      </c>
      <c r="P658" s="497">
        <f t="shared" ca="1" si="274"/>
        <v>153.63709677419354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</f>
        <v>12400</v>
      </c>
      <c r="N660" s="93">
        <f>N661+N662+N663+N664</f>
        <v>19051</v>
      </c>
      <c r="O660" s="93">
        <f t="shared" ca="1" si="273"/>
        <v>153.63709677419354</v>
      </c>
      <c r="P660" s="93">
        <f t="shared" ca="1" si="274"/>
        <v>153.63709677419354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19051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1240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1240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1240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</f>
        <v>1240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IFERROR(__xludf.DUMMYFUNCTION("IMPORTRANGE(""https://docs.google.com/spreadsheets/d/19vJNZY_5yjcGF2XGBMNZRCAIB0Kwfpjp8YEOfu-bneM/edit?usp=sharing"",""งานกองทุน!P71"")"),41316.31)</f>
        <v>41316.31</v>
      </c>
      <c r="K825" s="497">
        <f t="shared" ca="1" si="334"/>
        <v>59.175457007239046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IFERROR(__xludf.DUMMYFUNCTION("IMPORTRANGE(""https://docs.google.com/spreadsheets/d/19vJNZY_5yjcGF2XGBMNZRCAIB0Kwfpjp8YEOfu-bneM/edit?usp=sharing"",""งานกองทุน!O71"")"),20)</f>
        <v>20</v>
      </c>
      <c r="K826" s="497">
        <f t="shared" ca="1" si="334"/>
        <v>83.333333333333329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F4B9-76C1-4F1C-8E5B-A9569277E84F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5508726</v>
      </c>
      <c r="N8" s="22">
        <f t="shared" ca="1" si="0"/>
        <v>4195318.32</v>
      </c>
      <c r="O8" s="22">
        <f t="shared" ref="O8:O16" ca="1" si="1">IF(L8&gt;0,N8*100/L8,0)</f>
        <v>66.757467755964043</v>
      </c>
      <c r="P8" s="22">
        <f t="shared" ref="P8:P16" ca="1" si="2">IF(M8&gt;0,N8*100/M8,0)</f>
        <v>76.157687276513656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5508726</v>
      </c>
      <c r="N10" s="30">
        <f t="shared" ca="1" si="3"/>
        <v>4195318.32</v>
      </c>
      <c r="O10" s="30">
        <f t="shared" ca="1" si="1"/>
        <v>66.757467755964043</v>
      </c>
      <c r="P10" s="30">
        <f t="shared" ca="1" si="2"/>
        <v>76.157687276513656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5237226</v>
      </c>
      <c r="N11" s="497">
        <f t="shared" ca="1" si="4"/>
        <v>3923818.3200000003</v>
      </c>
      <c r="O11" s="497">
        <f t="shared" ca="1" si="1"/>
        <v>65.393506144174353</v>
      </c>
      <c r="P11" s="497">
        <f t="shared" ca="1" si="2"/>
        <v>74.921691750556491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6000318</v>
      </c>
      <c r="M13" s="93">
        <f t="shared" ca="1" si="5"/>
        <v>5237226</v>
      </c>
      <c r="N13" s="93">
        <f t="shared" ca="1" si="5"/>
        <v>3923818.3200000003</v>
      </c>
      <c r="O13" s="93">
        <f t="shared" ca="1" si="1"/>
        <v>65.393506144174353</v>
      </c>
      <c r="P13" s="93">
        <f t="shared" ca="1" si="2"/>
        <v>74.921691750556491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3755548</v>
      </c>
      <c r="N18" s="22">
        <f t="shared" ca="1" si="8"/>
        <v>3160983.87</v>
      </c>
      <c r="O18" s="22">
        <f t="shared" ref="O18:O26" ca="1" si="9">IF(L18&gt;0,N18*100/L18,0)</f>
        <v>69.876844362406459</v>
      </c>
      <c r="P18" s="22">
        <f t="shared" ref="P18:P26" ca="1" si="10">IF(M18&gt;0,N18*100/M18,0)</f>
        <v>84.168378889046281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3755548</v>
      </c>
      <c r="N20" s="30">
        <f t="shared" ca="1" si="11"/>
        <v>3160983.87</v>
      </c>
      <c r="O20" s="30">
        <f t="shared" ca="1" si="9"/>
        <v>69.876844362406459</v>
      </c>
      <c r="P20" s="30">
        <f t="shared" ca="1" si="10"/>
        <v>84.168378889046281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3484048</v>
      </c>
      <c r="N21" s="497">
        <f t="shared" ca="1" si="12"/>
        <v>2889483.87</v>
      </c>
      <c r="O21" s="497">
        <f t="shared" ca="1" si="9"/>
        <v>68.155437959217366</v>
      </c>
      <c r="P21" s="497">
        <f t="shared" ca="1" si="10"/>
        <v>82.934674550982081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3484048</v>
      </c>
      <c r="N23" s="93">
        <f t="shared" ca="1" si="13"/>
        <v>2889483.87</v>
      </c>
      <c r="O23" s="93">
        <f t="shared" ca="1" si="9"/>
        <v>68.155437959217366</v>
      </c>
      <c r="P23" s="93">
        <f t="shared" ca="1" si="10"/>
        <v>82.934674550982081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1034334.45</v>
      </c>
      <c r="O28" s="22">
        <f t="shared" ref="O28:O37" ca="1" si="17">IF(L28&gt;0,N28*100/L28,0)</f>
        <v>58.74336937063827</v>
      </c>
      <c r="P28" s="22">
        <f t="shared" ref="P28:P37" ca="1" si="18">IF(M28&gt;0,N28*100/M28,0)</f>
        <v>58.997685916661055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1034334.45</v>
      </c>
      <c r="O30" s="30">
        <f t="shared" ca="1" si="17"/>
        <v>58.74336937063827</v>
      </c>
      <c r="P30" s="30">
        <f t="shared" ca="1" si="18"/>
        <v>58.997685916661055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ca="1" si="20"/>
        <v>1753178</v>
      </c>
      <c r="N31" s="497">
        <f t="shared" si="20"/>
        <v>1034334.45</v>
      </c>
      <c r="O31" s="497">
        <f t="shared" ca="1" si="17"/>
        <v>58.74336937063827</v>
      </c>
      <c r="P31" s="497">
        <f t="shared" ca="1" si="18"/>
        <v>58.997685916661055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1760768</v>
      </c>
      <c r="M33" s="93">
        <f t="shared" ca="1" si="21"/>
        <v>1753178</v>
      </c>
      <c r="N33" s="93">
        <f t="shared" si="21"/>
        <v>1034334.45</v>
      </c>
      <c r="O33" s="93">
        <f t="shared" ca="1" si="17"/>
        <v>58.74336937063827</v>
      </c>
      <c r="P33" s="93">
        <f t="shared" ca="1" si="18"/>
        <v>58.997685916661055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3755548</v>
      </c>
      <c r="N37" s="59">
        <f t="shared" ca="1" si="24"/>
        <v>3160983.87</v>
      </c>
      <c r="O37" s="59">
        <f t="shared" ca="1" si="17"/>
        <v>69.876844362406459</v>
      </c>
      <c r="P37" s="59">
        <f t="shared" ca="1" si="18"/>
        <v>84.168378889046281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806043</v>
      </c>
      <c r="N41" s="85">
        <f t="shared" ca="1" si="25"/>
        <v>642889.77</v>
      </c>
      <c r="O41" s="85">
        <f t="shared" ref="O41:O49" ca="1" si="26">IF(L41&gt;0,N41*100/L41,0)</f>
        <v>80.225840144755722</v>
      </c>
      <c r="P41" s="85">
        <f t="shared" ref="P41:P49" ca="1" si="27">IF(M41&gt;0,N41*100/M41,0)</f>
        <v>79.758743640227635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806043</v>
      </c>
      <c r="N43" s="92">
        <f t="shared" ca="1" si="28"/>
        <v>642889.77</v>
      </c>
      <c r="O43" s="92">
        <f t="shared" ca="1" si="26"/>
        <v>80.225840144755722</v>
      </c>
      <c r="P43" s="92">
        <f t="shared" ca="1" si="27"/>
        <v>79.758743640227635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806043</v>
      </c>
      <c r="N44" s="497">
        <f t="shared" ca="1" si="29"/>
        <v>642889.77</v>
      </c>
      <c r="O44" s="497">
        <f t="shared" ca="1" si="26"/>
        <v>80.225840144755722</v>
      </c>
      <c r="P44" s="497">
        <f t="shared" ca="1" si="27"/>
        <v>79.758743640227635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IFERROR(__xludf.DUMMYFUNCTION("IMPORTRANGE(""https://docs.google.com/spreadsheets/d/1MeEWN-I1oV_STSDYn1IFDPWt_1FKiwhDph83XaGc0o0/edit?usp=sharing"",""งบพรบ!R72"")"),806043)</f>
        <v>806043</v>
      </c>
      <c r="N46" s="93">
        <f ca="1">IFERROR(__xludf.DUMMYFUNCTION("IMPORTRANGE(""https://docs.google.com/spreadsheets/d/1MeEWN-I1oV_STSDYn1IFDPWt_1FKiwhDph83XaGc0o0/edit?usp=sharing"",""งบพรบ!T72"")"),642889.77)</f>
        <v>642889.77</v>
      </c>
      <c r="O46" s="93">
        <f t="shared" ca="1" si="26"/>
        <v>80.225840144755722</v>
      </c>
      <c r="P46" s="93">
        <f t="shared" ca="1" si="27"/>
        <v>79.758743640227635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769475</v>
      </c>
      <c r="N53" s="116">
        <f t="shared" ca="1" si="31"/>
        <v>667970.12</v>
      </c>
      <c r="O53" s="116">
        <f t="shared" ref="O53:O61" ca="1" si="32">IF(L53&gt;0,N53*100/L53,0)</f>
        <v>67.24080128850413</v>
      </c>
      <c r="P53" s="116">
        <f t="shared" ref="P53:P61" ca="1" si="33">IF(M53&gt;0,N53*100/M53,0)</f>
        <v>86.808553884141787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769475</v>
      </c>
      <c r="N55" s="123">
        <f t="shared" ca="1" si="34"/>
        <v>667970.12</v>
      </c>
      <c r="O55" s="123">
        <f t="shared" ca="1" si="32"/>
        <v>67.24080128850413</v>
      </c>
      <c r="P55" s="123">
        <f t="shared" ca="1" si="33"/>
        <v>86.808553884141787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641575</v>
      </c>
      <c r="N56" s="497">
        <f t="shared" ca="1" si="35"/>
        <v>540070.12</v>
      </c>
      <c r="O56" s="497">
        <f t="shared" ca="1" si="32"/>
        <v>63.321622699026847</v>
      </c>
      <c r="P56" s="497">
        <f t="shared" ca="1" si="33"/>
        <v>84.178797490550593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IFERROR(__xludf.DUMMYFUNCTION("IMPORTRANGE(""https://docs.google.com/spreadsheets/d/1MeEWN-I1oV_STSDYn1IFDPWt_1FKiwhDph83XaGc0o0/edit?usp=sharing"",""งบพรบ!AB72"")"),641575)</f>
        <v>641575</v>
      </c>
      <c r="N58" s="93">
        <f ca="1">IFERROR(__xludf.DUMMYFUNCTION("IMPORTRANGE(""https://docs.google.com/spreadsheets/d/1MeEWN-I1oV_STSDYn1IFDPWt_1FKiwhDph83XaGc0o0/edit?usp=sharing"",""งบพรบ!AD72"")"),540070.12)</f>
        <v>540070.12</v>
      </c>
      <c r="O58" s="93">
        <f t="shared" ca="1" si="32"/>
        <v>63.321622699026847</v>
      </c>
      <c r="P58" s="93">
        <f t="shared" ca="1" si="33"/>
        <v>84.178797490550593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829950</v>
      </c>
      <c r="N66" s="155">
        <f t="shared" ca="1" si="39"/>
        <v>698529.56</v>
      </c>
      <c r="O66" s="155">
        <f t="shared" ref="O66:O74" ca="1" si="40">IF(L66&gt;0,N66*100/L66,0)</f>
        <v>62.704628366247753</v>
      </c>
      <c r="P66" s="155">
        <f t="shared" ref="P66:P74" ca="1" si="41">IF(M66&gt;0,N66*100/M66,0)</f>
        <v>84.165258148081207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829950</v>
      </c>
      <c r="N68" s="93">
        <f t="shared" ca="1" si="42"/>
        <v>698529.56</v>
      </c>
      <c r="O68" s="93">
        <f t="shared" ca="1" si="40"/>
        <v>62.704628366247753</v>
      </c>
      <c r="P68" s="93">
        <f t="shared" ca="1" si="41"/>
        <v>84.165258148081207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829950</v>
      </c>
      <c r="N69" s="497">
        <f t="shared" ca="1" si="43"/>
        <v>698529.56</v>
      </c>
      <c r="O69" s="497">
        <f t="shared" ca="1" si="40"/>
        <v>62.704628366247753</v>
      </c>
      <c r="P69" s="497">
        <f t="shared" ca="1" si="41"/>
        <v>84.165258148081207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IFERROR(__xludf.DUMMYFUNCTION("IMPORTRANGE(""https://docs.google.com/spreadsheets/d/1MeEWN-I1oV_STSDYn1IFDPWt_1FKiwhDph83XaGc0o0/edit?usp=sharing"",""งบพรบ!AL72"")"),829950)</f>
        <v>829950</v>
      </c>
      <c r="N71" s="93">
        <f ca="1">IFERROR(__xludf.DUMMYFUNCTION("IMPORTRANGE(""https://docs.google.com/spreadsheets/d/1MeEWN-I1oV_STSDYn1IFDPWt_1FKiwhDph83XaGc0o0/edit?usp=sharing"",""งบพรบ!AN72"")"),698529.56)</f>
        <v>698529.56</v>
      </c>
      <c r="O71" s="93">
        <f t="shared" ca="1" si="40"/>
        <v>62.704628366247753</v>
      </c>
      <c r="P71" s="93">
        <f t="shared" ca="1" si="41"/>
        <v>84.165258148081207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79840</v>
      </c>
      <c r="N88" s="155">
        <f t="shared" ca="1" si="49"/>
        <v>77340</v>
      </c>
      <c r="O88" s="155">
        <f t="shared" ref="O88:O96" ca="1" si="50">IF(L88&gt;0,N88*100/L88,0)</f>
        <v>66.59204408472533</v>
      </c>
      <c r="P88" s="155">
        <f t="shared" ref="P88:P96" ca="1" si="51">IF(M88&gt;0,N88*100/M88,0)</f>
        <v>96.868737474949896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79840</v>
      </c>
      <c r="N90" s="93">
        <f t="shared" ca="1" si="52"/>
        <v>77340</v>
      </c>
      <c r="O90" s="93">
        <f t="shared" ca="1" si="50"/>
        <v>66.59204408472533</v>
      </c>
      <c r="P90" s="93">
        <f t="shared" ca="1" si="51"/>
        <v>96.868737474949896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79840</v>
      </c>
      <c r="N91" s="497">
        <f t="shared" ca="1" si="53"/>
        <v>77340</v>
      </c>
      <c r="O91" s="497">
        <f t="shared" ca="1" si="50"/>
        <v>66.59204408472533</v>
      </c>
      <c r="P91" s="497">
        <f t="shared" ca="1" si="51"/>
        <v>96.868737474949896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IFERROR(__xludf.DUMMYFUNCTION("IMPORTRANGE(""https://docs.google.com/spreadsheets/d/1MeEWN-I1oV_STSDYn1IFDPWt_1FKiwhDph83XaGc0o0/edit?usp=sharing"",""งบพรบ!AV72"")"),79840)</f>
        <v>79840</v>
      </c>
      <c r="N93" s="93">
        <f ca="1">IFERROR(__xludf.DUMMYFUNCTION("IMPORTRANGE(""https://docs.google.com/spreadsheets/d/1MeEWN-I1oV_STSDYn1IFDPWt_1FKiwhDph83XaGc0o0/edit?usp=sharing"",""งบพรบ!AX72"")"),77340)</f>
        <v>77340</v>
      </c>
      <c r="O93" s="93">
        <f t="shared" ca="1" si="50"/>
        <v>66.59204408472533</v>
      </c>
      <c r="P93" s="93">
        <f t="shared" ca="1" si="51"/>
        <v>96.868737474949896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4680</v>
      </c>
      <c r="O149" s="155">
        <f t="shared" ref="O149:O157" ca="1" si="78">IF(L149&gt;0,N149*100/L149,0)</f>
        <v>62.4</v>
      </c>
      <c r="P149" s="155">
        <f t="shared" ref="P149:P157" ca="1" si="79">IF(M149&gt;0,N149*100/M149,0)</f>
        <v>62.4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4680</v>
      </c>
      <c r="O151" s="93">
        <f t="shared" ca="1" si="78"/>
        <v>62.4</v>
      </c>
      <c r="P151" s="93">
        <f t="shared" ca="1" si="79"/>
        <v>62.4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4680</v>
      </c>
      <c r="O152" s="497">
        <f t="shared" ca="1" si="78"/>
        <v>62.4</v>
      </c>
      <c r="P152" s="497">
        <f t="shared" ca="1" si="79"/>
        <v>62.4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IFERROR(__xludf.DUMMYFUNCTION("IMPORTRANGE(""https://docs.google.com/spreadsheets/d/1MeEWN-I1oV_STSDYn1IFDPWt_1FKiwhDph83XaGc0o0/edit?usp=sharing"",""งบพรบ!CB72"")"),4680)</f>
        <v>4680</v>
      </c>
      <c r="O154" s="93">
        <f t="shared" ca="1" si="78"/>
        <v>62.4</v>
      </c>
      <c r="P154" s="93">
        <f t="shared" ca="1" si="79"/>
        <v>62.4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33050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33050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33050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IFERROR(__xludf.DUMMYFUNCTION("IMPORTRANGE(""https://docs.google.com/spreadsheets/d/1MeEWN-I1oV_STSDYn1IFDPWt_1FKiwhDph83XaGc0o0/edit?usp=sharing"",""งบพรบ!CJ72"")"),33050)</f>
        <v>33050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20500</v>
      </c>
      <c r="N181" s="155">
        <f t="shared" ca="1" si="92"/>
        <v>12050</v>
      </c>
      <c r="O181" s="155">
        <f t="shared" ref="O181:O189" ca="1" si="93">IF(L181&gt;0,N181*100/L181,0)</f>
        <v>44.629629629629626</v>
      </c>
      <c r="P181" s="155">
        <f t="shared" ref="P181:P189" ca="1" si="94">IF(M181&gt;0,N181*100/M181,0)</f>
        <v>58.780487804878049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20500</v>
      </c>
      <c r="N183" s="93">
        <f t="shared" ca="1" si="95"/>
        <v>12050</v>
      </c>
      <c r="O183" s="93">
        <f t="shared" ca="1" si="93"/>
        <v>44.629629629629626</v>
      </c>
      <c r="P183" s="93">
        <f t="shared" ca="1" si="94"/>
        <v>58.780487804878049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20500</v>
      </c>
      <c r="N184" s="497">
        <f t="shared" ca="1" si="96"/>
        <v>12050</v>
      </c>
      <c r="O184" s="497">
        <f t="shared" ca="1" si="93"/>
        <v>44.629629629629626</v>
      </c>
      <c r="P184" s="497">
        <f t="shared" ca="1" si="94"/>
        <v>58.780487804878049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IFERROR(__xludf.DUMMYFUNCTION("IMPORTRANGE(""https://docs.google.com/spreadsheets/d/1MeEWN-I1oV_STSDYn1IFDPWt_1FKiwhDph83XaGc0o0/edit?usp=sharing"",""งบพรบ!CT72"")"),20500)</f>
        <v>20500</v>
      </c>
      <c r="N186" s="93">
        <f ca="1">IFERROR(__xludf.DUMMYFUNCTION("IMPORTRANGE(""https://docs.google.com/spreadsheets/d/1MeEWN-I1oV_STSDYn1IFDPWt_1FKiwhDph83XaGc0o0/edit?usp=sharing"",""งบพรบ!CV72"")"),12050)</f>
        <v>12050</v>
      </c>
      <c r="O186" s="93">
        <f t="shared" ca="1" si="93"/>
        <v>44.629629629629626</v>
      </c>
      <c r="P186" s="93">
        <f t="shared" ca="1" si="94"/>
        <v>58.780487804878049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3050</v>
      </c>
      <c r="O191" s="155">
        <f ca="1">IF(L191&gt;0,N191*100/L191,0)</f>
        <v>50.833333333333336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9000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IFERROR(__xludf.DUMMYFUNCTION("IMPORTRANGE(""https://docs.google.com/spreadsheets/d/1MeEWN-I1oV_STSDYn1IFDPWt_1FKiwhDph83XaGc0o0/edit?usp=sharing"",""งบพรบ!DD72"")"),23900)</f>
        <v>23900</v>
      </c>
      <c r="N266" s="93">
        <f ca="1">IFERROR(__xludf.DUMMYFUNCTION("IMPORTRANGE(""https://docs.google.com/spreadsheets/d/1MeEWN-I1oV_STSDYn1IFDPWt_1FKiwhDph83XaGc0o0/edit?usp=sharing"",""งบพรบ!DF72"")"),23900)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13460</v>
      </c>
      <c r="O277" s="155">
        <f t="shared" ref="O277:O285" ca="1" si="126">IF(L277&gt;0,N277*100/L277,0)</f>
        <v>32.821263106559378</v>
      </c>
      <c r="P277" s="155">
        <f t="shared" ref="P277:P285" ca="1" si="127">IF(M277&gt;0,N277*100/M277,0)</f>
        <v>61.321184510250568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13460</v>
      </c>
      <c r="O279" s="93">
        <f t="shared" ca="1" si="126"/>
        <v>32.821263106559378</v>
      </c>
      <c r="P279" s="93">
        <f t="shared" ca="1" si="127"/>
        <v>61.321184510250568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13460</v>
      </c>
      <c r="O280" s="497">
        <f t="shared" ca="1" si="126"/>
        <v>32.821263106559378</v>
      </c>
      <c r="P280" s="497">
        <f t="shared" ca="1" si="127"/>
        <v>61.321184510250568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IFERROR(__xludf.DUMMYFUNCTION("IMPORTRANGE(""https://docs.google.com/spreadsheets/d/1MeEWN-I1oV_STSDYn1IFDPWt_1FKiwhDph83XaGc0o0/edit?usp=sharing"",""งบพรบ!DN72"")"),21950)</f>
        <v>21950</v>
      </c>
      <c r="N282" s="93">
        <f ca="1">IFERROR(__xludf.DUMMYFUNCTION("IMPORTRANGE(""https://docs.google.com/spreadsheets/d/1MeEWN-I1oV_STSDYn1IFDPWt_1FKiwhDph83XaGc0o0/edit?usp=sharing"",""งบพรบ!DP72"")"),13460)</f>
        <v>13460</v>
      </c>
      <c r="O282" s="93">
        <f t="shared" ca="1" si="126"/>
        <v>32.821263106559378</v>
      </c>
      <c r="P282" s="93">
        <f t="shared" ca="1" si="127"/>
        <v>61.321184510250568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50300</v>
      </c>
      <c r="N298" s="155">
        <f t="shared" ca="1" si="135"/>
        <v>47258</v>
      </c>
      <c r="O298" s="155">
        <f t="shared" ref="O298:O306" ca="1" si="136">IF(L298&gt;0,N298*100/L298,0)</f>
        <v>74.072100313479623</v>
      </c>
      <c r="P298" s="155">
        <f t="shared" ref="P298:P306" ca="1" si="137">IF(M298&gt;0,N298*100/M298,0)</f>
        <v>93.952286282306162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50300</v>
      </c>
      <c r="N300" s="93">
        <f t="shared" ca="1" si="138"/>
        <v>47258</v>
      </c>
      <c r="O300" s="93">
        <f t="shared" ca="1" si="136"/>
        <v>74.072100313479623</v>
      </c>
      <c r="P300" s="93">
        <f t="shared" ca="1" si="137"/>
        <v>93.952286282306162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50300</v>
      </c>
      <c r="N301" s="497">
        <f t="shared" ca="1" si="139"/>
        <v>47258</v>
      </c>
      <c r="O301" s="497">
        <f t="shared" ca="1" si="136"/>
        <v>74.072100313479623</v>
      </c>
      <c r="P301" s="497">
        <f t="shared" ca="1" si="137"/>
        <v>93.952286282306162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IFERROR(__xludf.DUMMYFUNCTION("IMPORTRANGE(""https://docs.google.com/spreadsheets/d/1MeEWN-I1oV_STSDYn1IFDPWt_1FKiwhDph83XaGc0o0/edit?usp=sharing"",""งบพรบ!DX72"")"),50300)</f>
        <v>50300</v>
      </c>
      <c r="N303" s="93">
        <f ca="1">IFERROR(__xludf.DUMMYFUNCTION("IMPORTRANGE(""https://docs.google.com/spreadsheets/d/1MeEWN-I1oV_STSDYn1IFDPWt_1FKiwhDph83XaGc0o0/edit?usp=sharing"",""งบพรบ!DZ72"")"),47258)</f>
        <v>47258</v>
      </c>
      <c r="O303" s="93">
        <f t="shared" ca="1" si="136"/>
        <v>74.072100313479623</v>
      </c>
      <c r="P303" s="93">
        <f t="shared" ca="1" si="137"/>
        <v>93.952286282306162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2639</v>
      </c>
      <c r="K327" s="445">
        <f ca="1">IF(I327&gt;0,J327*100/I327,0)</f>
        <v>114.73913043478261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109483.47</v>
      </c>
      <c r="O328" s="155">
        <f t="shared" ref="O328:O336" ca="1" si="150">IF(L328&gt;0,N328*100/L328,0)</f>
        <v>65.95389759036145</v>
      </c>
      <c r="P328" s="155">
        <f t="shared" ref="P328:P336" ca="1" si="151">IF(M328&gt;0,N328*100/M328,0)</f>
        <v>86.207456692913382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109483.47</v>
      </c>
      <c r="O330" s="93">
        <f t="shared" ca="1" si="150"/>
        <v>65.95389759036145</v>
      </c>
      <c r="P330" s="93">
        <f t="shared" ca="1" si="151"/>
        <v>86.207456692913382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109483.47</v>
      </c>
      <c r="O331" s="497">
        <f t="shared" ca="1" si="150"/>
        <v>65.95389759036145</v>
      </c>
      <c r="P331" s="497">
        <f t="shared" ca="1" si="151"/>
        <v>86.207456692913382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IFERROR(__xludf.DUMMYFUNCTION("IMPORTRANGE(""https://docs.google.com/spreadsheets/d/1MeEWN-I1oV_STSDYn1IFDPWt_1FKiwhDph83XaGc0o0/edit?usp=sharing"",""งบพรบ!ER72"")"),127000)</f>
        <v>127000</v>
      </c>
      <c r="N333" s="93">
        <f ca="1">IFERROR(__xludf.DUMMYFUNCTION("IMPORTRANGE(""https://docs.google.com/spreadsheets/d/1MeEWN-I1oV_STSDYn1IFDPWt_1FKiwhDph83XaGc0o0/edit?usp=sharing"",""งบพรบ!ET72"")"),109483.47)</f>
        <v>109483.47</v>
      </c>
      <c r="O333" s="93">
        <f t="shared" ca="1" si="150"/>
        <v>65.95389759036145</v>
      </c>
      <c r="P333" s="93">
        <f t="shared" ca="1" si="151"/>
        <v>86.207456692913382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IFERROR(__xludf.DUMMYFUNCTION("IMPORTRANGE(""https://docs.google.com/spreadsheets/d/1kVcqe37tkHyjCSG3S0O1AXqVkqjo8mSIZil3BcpIysc/edit?usp=sharing"",""ศูนย์!D72"")"),2444)</f>
        <v>2444</v>
      </c>
      <c r="K338" s="497">
        <f ca="1">IF(I338&gt;0,J338*100/I338,0)</f>
        <v>106.26086956521739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986040</v>
      </c>
      <c r="N345" s="155">
        <f t="shared" ca="1" si="155"/>
        <v>830372.95</v>
      </c>
      <c r="O345" s="155">
        <f t="shared" ref="O345:O353" ca="1" si="156">IF(L345&gt;0,N345*100/L345,0)</f>
        <v>72.617421227994996</v>
      </c>
      <c r="P345" s="155">
        <f t="shared" ref="P345:P353" ca="1" si="157">IF(M345&gt;0,N345*100/M345,0)</f>
        <v>84.212907184292732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986040</v>
      </c>
      <c r="N347" s="93">
        <f t="shared" ca="1" si="158"/>
        <v>830372.95</v>
      </c>
      <c r="O347" s="93">
        <f t="shared" ca="1" si="156"/>
        <v>72.617421227994996</v>
      </c>
      <c r="P347" s="93">
        <f t="shared" ca="1" si="157"/>
        <v>84.212907184292732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842440</v>
      </c>
      <c r="N348" s="497">
        <f t="shared" ca="1" si="159"/>
        <v>686772.95</v>
      </c>
      <c r="O348" s="497">
        <f t="shared" ca="1" si="156"/>
        <v>68.684850333536687</v>
      </c>
      <c r="P348" s="497">
        <f t="shared" ca="1" si="157"/>
        <v>81.521882864061538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IFERROR(__xludf.DUMMYFUNCTION("IMPORTRANGE(""https://docs.google.com/spreadsheets/d/1MeEWN-I1oV_STSDYn1IFDPWt_1FKiwhDph83XaGc0o0/edit?usp=sharing"",""งบพรบ!FB72"")"),842440)</f>
        <v>842440</v>
      </c>
      <c r="N350" s="93">
        <f ca="1">IFERROR(__xludf.DUMMYFUNCTION("IMPORTRANGE(""https://docs.google.com/spreadsheets/d/1MeEWN-I1oV_STSDYn1IFDPWt_1FKiwhDph83XaGc0o0/edit?usp=sharing"",""งบพรบ!FD72"")"),686772.95)</f>
        <v>686772.95</v>
      </c>
      <c r="O350" s="93">
        <f t="shared" ca="1" si="156"/>
        <v>68.684850333536687</v>
      </c>
      <c r="P350" s="93">
        <f t="shared" ca="1" si="157"/>
        <v>81.521882864061538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152</v>
      </c>
      <c r="K355" s="465">
        <f ca="1">IF(I355&gt;0,J355*100/I355,0)</f>
        <v>69.090909090909093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IFERROR(__xludf.DUMMYFUNCTION("IMPORTRANGE(""https://docs.google.com/spreadsheets/d/1XWAQStnk-4SwqDmLtmXYiTMKHgktTP8We1SCoS47DrQ/edit?usp=sharing"",""จัดที่ดิน!W72"")"),325)</f>
        <v>325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IFERROR(__xludf.DUMMYFUNCTION("IMPORTRANGE(""https://docs.google.com/spreadsheets/d/1XWAQStnk-4SwqDmLtmXYiTMKHgktTP8We1SCoS47DrQ/edit?usp=sharing"",""จัดที่ดิน!X72"")"),2079.56999999999)</f>
        <v>2079.5699999999902</v>
      </c>
      <c r="K359" s="497">
        <f t="shared" ca="1" si="161"/>
        <v>99.02714285714238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IFERROR(__xludf.DUMMYFUNCTION("IMPORTRANGE(""https://docs.google.com/spreadsheets/d/1XWAQStnk-4SwqDmLtmXYiTMKHgktTP8We1SCoS47DrQ/edit?usp=sharing"",""จัดที่ดิน!Y72"")"),152)</f>
        <v>152</v>
      </c>
      <c r="K360" s="497">
        <f t="shared" ca="1" si="161"/>
        <v>69.090909090909093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IFERROR(__xludf.DUMMYFUNCTION("IMPORTRANGE(""https://docs.google.com/spreadsheets/d/1XWAQStnk-4SwqDmLtmXYiTMKHgktTP8We1SCoS47DrQ/edit?usp=sharing"",""จัดที่ดิน!Z72"")"),1052.52)</f>
        <v>1052.52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IFERROR(__xludf.DUMMYFUNCTION("IMPORTRANGE(""https://docs.google.com/spreadsheets/d/1XWAQStnk-4SwqDmLtmXYiTMKHgktTP8We1SCoS47DrQ/edit?usp=sharing"",""จัดที่ดิน!AA72"")"),152)</f>
        <v>152</v>
      </c>
      <c r="K362" s="497">
        <f t="shared" ca="1" si="161"/>
        <v>69.090909090909093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IFERROR(__xludf.DUMMYFUNCTION("IMPORTRANGE(""https://docs.google.com/spreadsheets/d/1XWAQStnk-4SwqDmLtmXYiTMKHgktTP8We1SCoS47DrQ/edit?usp=sharing"",""จัดที่ดิน!AB72"")"),1052.52)</f>
        <v>1052.52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292</v>
      </c>
      <c r="K364" s="479">
        <f t="shared" ca="1" si="161"/>
        <v>81.111111111111114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54</v>
      </c>
      <c r="K365" s="491">
        <f t="shared" ca="1" si="161"/>
        <v>135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IFERROR(__xludf.DUMMYFUNCTION("IMPORTRANGE(""https://docs.google.com/spreadsheets/d/1XWAQStnk-4SwqDmLtmXYiTMKHgktTP8We1SCoS47DrQ/edit?usp=sharing"",""จัดที่ดิน!E72"")"),85)</f>
        <v>85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IFERROR(__xludf.DUMMYFUNCTION("IMPORTRANGE(""https://docs.google.com/spreadsheets/d/1XWAQStnk-4SwqDmLtmXYiTMKHgktTP8We1SCoS47DrQ/edit?usp=sharing"",""จัดที่ดิน!F72"")"),438.46)</f>
        <v>438.46</v>
      </c>
      <c r="K369" s="497">
        <f t="shared" ca="1" si="163"/>
        <v>146.15333333333334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IFERROR(__xludf.DUMMYFUNCTION("IMPORTRANGE(""https://docs.google.com/spreadsheets/d/1XWAQStnk-4SwqDmLtmXYiTMKHgktTP8We1SCoS47DrQ/edit?usp=sharing"",""จัดที่ดิน!G72"")"),54)</f>
        <v>54</v>
      </c>
      <c r="K370" s="497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IFERROR(__xludf.DUMMYFUNCTION("IMPORTRANGE(""https://docs.google.com/spreadsheets/d/1XWAQStnk-4SwqDmLtmXYiTMKHgktTP8We1SCoS47DrQ/edit?usp=sharing"",""จัดที่ดิน!H72"")"),313.32)</f>
        <v>313.32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IFERROR(__xludf.DUMMYFUNCTION("IMPORTRANGE(""https://docs.google.com/spreadsheets/d/1XWAQStnk-4SwqDmLtmXYiTMKHgktTP8We1SCoS47DrQ/edit?usp=sharing"",""จัดที่ดิน!I72"")"),54)</f>
        <v>54</v>
      </c>
      <c r="K372" s="497">
        <f t="shared" ca="1" si="163"/>
        <v>135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IFERROR(__xludf.DUMMYFUNCTION("IMPORTRANGE(""https://docs.google.com/spreadsheets/d/1XWAQStnk-4SwqDmLtmXYiTMKHgktTP8We1SCoS47DrQ/edit?usp=sharing"",""จัดที่ดิน!J72"")"),313.32)</f>
        <v>313.32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238</v>
      </c>
      <c r="K374" s="491">
        <f t="shared" ca="1" si="163"/>
        <v>74.375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IFERROR(__xludf.DUMMYFUNCTION("IMPORTRANGE(""https://docs.google.com/spreadsheets/d/1XWAQStnk-4SwqDmLtmXYiTMKHgktTP8We1SCoS47DrQ/edit?usp=sharing"",""จัดที่ดิน!AH72"")"),240)</f>
        <v>240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IFERROR(__xludf.DUMMYFUNCTION("IMPORTRANGE(""https://docs.google.com/spreadsheets/d/1XWAQStnk-4SwqDmLtmXYiTMKHgktTP8We1SCoS47DrQ/edit?usp=sharing"",""จัดที่ดิน!AI72"")"),1641.11)</f>
        <v>1641.11</v>
      </c>
      <c r="K378" s="497">
        <f t="shared" ca="1" si="164"/>
        <v>91.172777777777782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IFERROR(__xludf.DUMMYFUNCTION("IMPORTRANGE(""https://docs.google.com/spreadsheets/d/1XWAQStnk-4SwqDmLtmXYiTMKHgktTP8We1SCoS47DrQ/edit?usp=sharing"",""จัดที่ดิน!AJ72"")"),239)</f>
        <v>239</v>
      </c>
      <c r="K379" s="497">
        <f t="shared" ca="1" si="164"/>
        <v>74.6875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IFERROR(__xludf.DUMMYFUNCTION("IMPORTRANGE(""https://docs.google.com/spreadsheets/d/1XWAQStnk-4SwqDmLtmXYiTMKHgktTP8We1SCoS47DrQ/edit?usp=sharing"",""จัดที่ดิน!AK72"")"),2427.74)</f>
        <v>2427.7399999999998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IFERROR(__xludf.DUMMYFUNCTION("IMPORTRANGE(""https://docs.google.com/spreadsheets/d/1XWAQStnk-4SwqDmLtmXYiTMKHgktTP8We1SCoS47DrQ/edit?usp=sharing"",""จัดที่ดิน!AL72"")"),238)</f>
        <v>238</v>
      </c>
      <c r="K381" s="497">
        <f t="shared" ca="1" si="164"/>
        <v>74.375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IFERROR(__xludf.DUMMYFUNCTION("IMPORTRANGE(""https://docs.google.com/spreadsheets/d/1XWAQStnk-4SwqDmLtmXYiTMKHgktTP8We1SCoS47DrQ/edit?usp=sharing"",""จัดที่ดิน!AM72"")"),2420.74)</f>
        <v>2420.7399999999998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IFERROR(__xludf.DUMMYFUNCTION("IMPORTRANGE(""https://docs.google.com/spreadsheets/d/1XWAQStnk-4SwqDmLtmXYiTMKHgktTP8We1SCoS47DrQ/edit?usp=sharing"",""จัดที่ดิน!AP72"")"),15)</f>
        <v>15</v>
      </c>
      <c r="K385" s="502">
        <f ca="1">IF(I385&gt;0,J385*100/I385,0)</f>
        <v>37.5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1760768</v>
      </c>
      <c r="M414" s="549">
        <f t="shared" ca="1" si="181"/>
        <v>1753178</v>
      </c>
      <c r="N414" s="549">
        <f t="shared" si="181"/>
        <v>1034334.45</v>
      </c>
      <c r="O414" s="549">
        <f ca="1">IF(L414&gt;0,N414*100/L414,0)</f>
        <v>58.74336937063827</v>
      </c>
      <c r="P414" s="549">
        <f ca="1">IF(M414&gt;0,N414*100/M414,0)</f>
        <v>58.997685916661055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197910</v>
      </c>
      <c r="N419" s="155">
        <f t="shared" si="184"/>
        <v>186810</v>
      </c>
      <c r="O419" s="155">
        <f t="shared" ref="O419:O424" ca="1" si="185">IF(L419&gt;0,N419*100/L419,0)</f>
        <v>90.9051094890511</v>
      </c>
      <c r="P419" s="155">
        <f t="shared" ref="P419:P424" ca="1" si="186">IF(M419&gt;0,N419*100/M419,0)</f>
        <v>94.391390025769283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197910</v>
      </c>
      <c r="N421" s="93">
        <f t="shared" si="187"/>
        <v>186810</v>
      </c>
      <c r="O421" s="93">
        <f t="shared" ca="1" si="185"/>
        <v>90.9051094890511</v>
      </c>
      <c r="P421" s="93">
        <f t="shared" ca="1" si="186"/>
        <v>94.391390025769283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197910</v>
      </c>
      <c r="N422" s="497">
        <f t="shared" si="188"/>
        <v>186810</v>
      </c>
      <c r="O422" s="497">
        <f t="shared" ca="1" si="185"/>
        <v>90.9051094890511</v>
      </c>
      <c r="P422" s="497">
        <f t="shared" ca="1" si="186"/>
        <v>94.391390025769283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</f>
        <v>197910</v>
      </c>
      <c r="N424" s="93">
        <f>N425+N426+N427+N428</f>
        <v>186810</v>
      </c>
      <c r="O424" s="93">
        <f t="shared" ca="1" si="185"/>
        <v>90.9051094890511</v>
      </c>
      <c r="P424" s="93">
        <f t="shared" ca="1" si="186"/>
        <v>94.391390025769283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</f>
        <v>167650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3080+6500+9580</f>
        <v>19160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232510</v>
      </c>
      <c r="O444" s="195">
        <f t="shared" ref="O444:O449" ca="1" si="198">IF(L444&gt;0,N444*100/L444,0)</f>
        <v>75.202147616275312</v>
      </c>
      <c r="P444" s="195">
        <f t="shared" ref="P444:P449" ca="1" si="199">IF(M444&gt;0,N444*100/M444,0)</f>
        <v>75.202147616275312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232510</v>
      </c>
      <c r="O446" s="93">
        <f t="shared" ca="1" si="198"/>
        <v>75.202147616275312</v>
      </c>
      <c r="P446" s="93">
        <f t="shared" ca="1" si="199"/>
        <v>75.202147616275312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232510</v>
      </c>
      <c r="O447" s="497">
        <f t="shared" ca="1" si="198"/>
        <v>75.202147616275312</v>
      </c>
      <c r="P447" s="497">
        <f t="shared" ca="1" si="199"/>
        <v>75.202147616275312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232510</v>
      </c>
      <c r="O449" s="93">
        <f t="shared" ca="1" si="198"/>
        <v>75.202147616275312</v>
      </c>
      <c r="P449" s="93">
        <f t="shared" ca="1" si="199"/>
        <v>75.202147616275312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8570+800+2420+9840+6980+1000</f>
        <v>29610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69949</v>
      </c>
      <c r="O467" s="195">
        <f t="shared" ref="O467:O472" ca="1" si="207">IF(L467&gt;0,N467*100/L467,0)</f>
        <v>21.141378757975357</v>
      </c>
      <c r="P467" s="195">
        <f t="shared" ref="P467:P472" ca="1" si="208">IF(M467&gt;0,N467*100/M467,0)</f>
        <v>21.141378757975357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69949</v>
      </c>
      <c r="O469" s="93">
        <f t="shared" ca="1" si="207"/>
        <v>21.141378757975357</v>
      </c>
      <c r="P469" s="93">
        <f t="shared" ca="1" si="208"/>
        <v>21.141378757975357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69949</v>
      </c>
      <c r="O470" s="497">
        <f t="shared" ca="1" si="207"/>
        <v>21.141378757975357</v>
      </c>
      <c r="P470" s="497">
        <f t="shared" ca="1" si="208"/>
        <v>21.141378757975357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69949</v>
      </c>
      <c r="O472" s="93">
        <f t="shared" ca="1" si="207"/>
        <v>21.141378757975357</v>
      </c>
      <c r="P472" s="93">
        <f t="shared" ca="1" si="208"/>
        <v>21.141378757975357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5296+550+710+3300+3490+1000</f>
        <v>14346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ca="1" si="236"/>
        <v>496730</v>
      </c>
      <c r="N544" s="155">
        <f t="shared" si="236"/>
        <v>257113.45</v>
      </c>
      <c r="O544" s="155">
        <f t="shared" ref="O544:O549" ca="1" si="237">IF(L544&gt;0,N544*100/L544,0)</f>
        <v>51.761208302297021</v>
      </c>
      <c r="P544" s="155">
        <f t="shared" ref="P544:P549" ca="1" si="238">IF(M544&gt;0,N544*100/M544,0)</f>
        <v>51.761208302297021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496730</v>
      </c>
      <c r="M546" s="93">
        <f t="shared" ca="1" si="240"/>
        <v>496730</v>
      </c>
      <c r="N546" s="93">
        <f t="shared" si="240"/>
        <v>257113.45</v>
      </c>
      <c r="O546" s="93">
        <f t="shared" ca="1" si="237"/>
        <v>51.761208302297021</v>
      </c>
      <c r="P546" s="93">
        <f t="shared" ca="1" si="238"/>
        <v>51.761208302297021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ca="1" si="241"/>
        <v>496730</v>
      </c>
      <c r="N547" s="497">
        <f t="shared" si="241"/>
        <v>257113.45</v>
      </c>
      <c r="O547" s="497">
        <f t="shared" ca="1" si="237"/>
        <v>51.761208302297021</v>
      </c>
      <c r="P547" s="497">
        <f t="shared" ca="1" si="238"/>
        <v>51.761208302297021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f ca="1">L549</f>
        <v>496730</v>
      </c>
      <c r="N549" s="93">
        <f>N550+N551+N552+N553+N554</f>
        <v>257113.45</v>
      </c>
      <c r="O549" s="93">
        <f t="shared" ca="1" si="237"/>
        <v>51.761208302297021</v>
      </c>
      <c r="P549" s="93">
        <f t="shared" ca="1" si="238"/>
        <v>51.761208302297021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76607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22540+38500+3570+13580+8320.45+32736+47600+13660</f>
        <v>180506.45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1644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1644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1644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1644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1644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1644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663</v>
      </c>
      <c r="K592" s="672">
        <f t="shared" ref="K592:K594" ca="1" si="254">IF(I592&gt;0,J592*100/I592,0)</f>
        <v>15.946354826838943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663</v>
      </c>
      <c r="K593" s="411">
        <f t="shared" ca="1" si="254"/>
        <v>15.946354826838943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76</v>
      </c>
      <c r="K594" s="411">
        <f t="shared" ca="1" si="254"/>
        <v>15.541922290388548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76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613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71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54</v>
      </c>
      <c r="K628" s="737">
        <f ca="1">IF(I628&gt;0,J628*100/I628,0)</f>
        <v>54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286552</v>
      </c>
      <c r="O629" s="195">
        <f t="shared" ref="O629:O634" ca="1" si="264">IF(L629&gt;0,N629*100/L629,0)</f>
        <v>75.108973434858399</v>
      </c>
      <c r="P629" s="195">
        <f t="shared" ref="P629:P634" ca="1" si="265">IF(M629&gt;0,N629*100/M629,0)</f>
        <v>75.108973434858399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286552</v>
      </c>
      <c r="O631" s="93">
        <f t="shared" ca="1" si="264"/>
        <v>75.108973434858399</v>
      </c>
      <c r="P631" s="93">
        <f t="shared" ca="1" si="265"/>
        <v>75.108973434858399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286552</v>
      </c>
      <c r="O632" s="497">
        <f t="shared" ca="1" si="264"/>
        <v>75.108973434858399</v>
      </c>
      <c r="P632" s="497">
        <f t="shared" ca="1" si="265"/>
        <v>75.108973434858399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</f>
        <v>381515</v>
      </c>
      <c r="N634" s="93">
        <f>N635+N636+N637+N638</f>
        <v>286552</v>
      </c>
      <c r="O634" s="93">
        <f t="shared" ca="1" si="264"/>
        <v>75.108973434858399</v>
      </c>
      <c r="P634" s="93">
        <f t="shared" ca="1" si="265"/>
        <v>75.108973434858399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78000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26250+2100+58950+800+600+30272+66800+20480+2300</f>
        <v>208552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IFERROR(__xludf.DUMMYFUNCTION("IMPORTRANGE(""https://docs.google.com/spreadsheets/d/1XWAQStnk-4SwqDmLtmXYiTMKHgktTP8We1SCoS47DrQ/edit?usp=sharing"",""จัดที่ดิน!AS72"")"),118)</f>
        <v>118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IFERROR(__xludf.DUMMYFUNCTION("IMPORTRANGE(""https://docs.google.com/spreadsheets/d/1XWAQStnk-4SwqDmLtmXYiTMKHgktTP8We1SCoS47DrQ/edit?usp=sharing"",""จัดที่ดิน!AT72"")"),72.92)</f>
        <v>72.92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IFERROR(__xludf.DUMMYFUNCTION("IMPORTRANGE(""https://docs.google.com/spreadsheets/d/1XWAQStnk-4SwqDmLtmXYiTMKHgktTP8We1SCoS47DrQ/edit?usp=sharing"",""จัดที่ดิน!AU72"")"),92)</f>
        <v>92</v>
      </c>
      <c r="K647" s="163">
        <f t="shared" ca="1" si="271"/>
        <v>92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IFERROR(__xludf.DUMMYFUNCTION("IMPORTRANGE(""https://docs.google.com/spreadsheets/d/1XWAQStnk-4SwqDmLtmXYiTMKHgktTP8We1SCoS47DrQ/edit?usp=sharing"",""จัดที่ดิน!AV72"")"),61.16)</f>
        <v>61.16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IFERROR(__xludf.DUMMYFUNCTION("IMPORTRANGE(""https://docs.google.com/spreadsheets/d/1XWAQStnk-4SwqDmLtmXYiTMKHgktTP8We1SCoS47DrQ/edit?usp=sharing"",""จัดที่ดิน!AW72"")"),54)</f>
        <v>54</v>
      </c>
      <c r="K649" s="163">
        <f t="shared" ca="1" si="271"/>
        <v>54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IFERROR(__xludf.DUMMYFUNCTION("IMPORTRANGE(""https://docs.google.com/spreadsheets/d/1XWAQStnk-4SwqDmLtmXYiTMKHgktTP8We1SCoS47DrQ/edit?usp=sharing"",""จัดที่ดิน!AX72"")"),35.54)</f>
        <v>35.54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IFERROR(__xludf.DUMMYFUNCTION("IMPORTRANGE(""https://docs.google.com/spreadsheets/d/1XWAQStnk-4SwqDmLtmXYiTMKHgktTP8We1SCoS47DrQ/edit?usp=sharing"",""จัดที่ดิน!AY72"")"),54)</f>
        <v>54</v>
      </c>
      <c r="K651" s="163">
        <f t="shared" ca="1" si="271"/>
        <v>54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IFERROR(__xludf.DUMMYFUNCTION("IMPORTRANGE(""https://docs.google.com/spreadsheets/d/1XWAQStnk-4SwqDmLtmXYiTMKHgktTP8We1SCoS47DrQ/edit?usp=sharing"",""จัดที่ดิน!AZ72"")"),35.5375)</f>
        <v>35.537500000000001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1400</v>
      </c>
      <c r="O655" s="195">
        <f t="shared" ref="O655:O660" ca="1" si="274">IF(L655&gt;0,N655*100/L655,0)</f>
        <v>11.290322580645162</v>
      </c>
      <c r="P655" s="195">
        <f t="shared" ref="P655:P660" ca="1" si="275">IF(M655&gt;0,N655*100/M655,0)</f>
        <v>11.290322580645162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1400</v>
      </c>
      <c r="O657" s="93">
        <f t="shared" ca="1" si="274"/>
        <v>11.290322580645162</v>
      </c>
      <c r="P657" s="93">
        <f t="shared" ca="1" si="275"/>
        <v>11.290322580645162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1400</v>
      </c>
      <c r="O658" s="497">
        <f t="shared" ca="1" si="274"/>
        <v>11.290322580645162</v>
      </c>
      <c r="P658" s="497">
        <f t="shared" ca="1" si="275"/>
        <v>11.290322580645162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</f>
        <v>12400</v>
      </c>
      <c r="N660" s="93">
        <f>N661+N662+N663+N664</f>
        <v>1400</v>
      </c>
      <c r="O660" s="93">
        <f t="shared" ca="1" si="274"/>
        <v>11.290322580645162</v>
      </c>
      <c r="P660" s="93">
        <f t="shared" ca="1" si="275"/>
        <v>11.290322580645162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24580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24580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24580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</f>
        <v>24580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1</v>
      </c>
      <c r="K721" s="195">
        <f t="shared" ca="1" si="291"/>
        <v>3.4482758620689653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11</v>
      </c>
      <c r="K722" s="195">
        <f t="shared" ca="1" si="291"/>
        <v>3.6666666666666665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IFERROR(__xludf.DUMMYFUNCTION("IMPORTRANGE(""https://docs.google.com/spreadsheets/d/1XWAQStnk-4SwqDmLtmXYiTMKHgktTP8We1SCoS47DrQ/edit?usp=sharing"",""จัดที่ดิน!BO72"")"),11)</f>
        <v>11</v>
      </c>
      <c r="K725" s="497">
        <f t="shared" ref="K725:K726" ca="1" si="292">IF(I725&gt;0,J725*100/I725,0)</f>
        <v>5.5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/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/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IFERROR(__xludf.DUMMYFUNCTION("IMPORTRANGE(""https://docs.google.com/spreadsheets/d/19vJNZY_5yjcGF2XGBMNZRCAIB0Kwfpjp8YEOfu-bneM/edit?usp=sharing"",""งานกองทุน!F72"")"),9174000)</f>
        <v>9174000</v>
      </c>
      <c r="K821" s="497">
        <f t="shared" ref="K821:K828" ca="1" si="335">IF(I821&gt;0,J821*100/I821,0)</f>
        <v>39.205257213880579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IFERROR(__xludf.DUMMYFUNCTION("IMPORTRANGE(""https://docs.google.com/spreadsheets/d/19vJNZY_5yjcGF2XGBMNZRCAIB0Kwfpjp8YEOfu-bneM/edit?usp=sharing"",""งานกองทุน!E72"")"),241)</f>
        <v>241</v>
      </c>
      <c r="K822" s="497">
        <f t="shared" ca="1" si="335"/>
        <v>41.840277777777779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IFERROR(__xludf.DUMMYFUNCTION("IMPORTRANGE(""https://docs.google.com/spreadsheets/d/19vJNZY_5yjcGF2XGBMNZRCAIB0Kwfpjp8YEOfu-bneM/edit?usp=sharing"",""งานกองทุน!K72"")"),474671.48)</f>
        <v>474671.48</v>
      </c>
      <c r="K823" s="497">
        <f t="shared" ca="1" si="335"/>
        <v>15.829224743533894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IFERROR(__xludf.DUMMYFUNCTION("IMPORTRANGE(""https://docs.google.com/spreadsheets/d/19vJNZY_5yjcGF2XGBMNZRCAIB0Kwfpjp8YEOfu-bneM/edit?usp=sharing"",""งานกองทุน!J72"")"),41)</f>
        <v>41</v>
      </c>
      <c r="K824" s="497">
        <f t="shared" ca="1" si="335"/>
        <v>69.491525423728817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IFERROR(__xludf.DUMMYFUNCTION("IMPORTRANGE(""https://docs.google.com/spreadsheets/d/19vJNZY_5yjcGF2XGBMNZRCAIB0Kwfpjp8YEOfu-bneM/edit?usp=sharing"",""งานกองทุน!P72"")"),544551.11)</f>
        <v>544551.11</v>
      </c>
      <c r="K825" s="497">
        <f t="shared" ca="1" si="335"/>
        <v>26.619963745203581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IFERROR(__xludf.DUMMYFUNCTION("IMPORTRANGE(""https://docs.google.com/spreadsheets/d/19vJNZY_5yjcGF2XGBMNZRCAIB0Kwfpjp8YEOfu-bneM/edit?usp=sharing"",""งานกองทุน!O72"")"),178)</f>
        <v>178</v>
      </c>
      <c r="K826" s="497">
        <f t="shared" ca="1" si="335"/>
        <v>35.671342685370739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IFERROR(__xludf.DUMMYFUNCTION("IMPORTRANGE(""https://docs.google.com/spreadsheets/d/19vJNZY_5yjcGF2XGBMNZRCAIB0Kwfpjp8YEOfu-bneM/edit?usp=sharing"",""งานกองทุน!U72"")"),6375000)</f>
        <v>6375000</v>
      </c>
      <c r="K827" s="497">
        <f t="shared" ca="1" si="335"/>
        <v>31.875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IFERROR(__xludf.DUMMYFUNCTION("IMPORTRANGE(""https://docs.google.com/spreadsheets/d/19vJNZY_5yjcGF2XGBMNZRCAIB0Kwfpjp8YEOfu-bneM/edit?usp=sharing"",""งานกองทุน!T72"")"),152)</f>
        <v>152</v>
      </c>
      <c r="K828" s="502">
        <f t="shared" ca="1" si="335"/>
        <v>27.737226277372262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046F5-1BC3-40E9-8C86-3F92BF9BE68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382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1618305</v>
      </c>
      <c r="N8" s="22">
        <f t="shared" ca="1" si="0"/>
        <v>1207431.05</v>
      </c>
      <c r="O8" s="22">
        <f t="shared" ref="O8:O16" ca="1" si="1">IF(L8&gt;0,N8*100/L8,0)</f>
        <v>60.650849662696722</v>
      </c>
      <c r="P8" s="22">
        <f t="shared" ref="P8:P16" ca="1" si="2">IF(M8&gt;0,N8*100/M8,0)</f>
        <v>74.610845915942917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1618305</v>
      </c>
      <c r="N10" s="30">
        <f t="shared" ca="1" si="3"/>
        <v>1207431.05</v>
      </c>
      <c r="O10" s="30">
        <f t="shared" ca="1" si="1"/>
        <v>60.650849662696722</v>
      </c>
      <c r="P10" s="30">
        <f t="shared" ca="1" si="2"/>
        <v>74.610845915942917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1588305</v>
      </c>
      <c r="N11" s="497">
        <f t="shared" ca="1" si="4"/>
        <v>1177431.05</v>
      </c>
      <c r="O11" s="497">
        <f t="shared" ca="1" si="1"/>
        <v>60.048809408452712</v>
      </c>
      <c r="P11" s="497">
        <f t="shared" ca="1" si="2"/>
        <v>74.131294052464739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1588305</v>
      </c>
      <c r="N13" s="93">
        <f t="shared" ca="1" si="5"/>
        <v>1177431.05</v>
      </c>
      <c r="O13" s="93">
        <f t="shared" ca="1" si="1"/>
        <v>60.048809408452712</v>
      </c>
      <c r="P13" s="93">
        <f t="shared" ca="1" si="2"/>
        <v>74.131294052464739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1366725</v>
      </c>
      <c r="N18" s="22">
        <f t="shared" ca="1" si="8"/>
        <v>1096213.05</v>
      </c>
      <c r="O18" s="22">
        <f t="shared" ref="O18:O26" ca="1" si="9">IF(L18&gt;0,N18*100/L18,0)</f>
        <v>63.029366781469747</v>
      </c>
      <c r="P18" s="22">
        <f t="shared" ref="P18:P26" ca="1" si="10">IF(M18&gt;0,N18*100/M18,0)</f>
        <v>80.207287493826485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1366725</v>
      </c>
      <c r="N20" s="30">
        <f t="shared" ca="1" si="11"/>
        <v>1096213.05</v>
      </c>
      <c r="O20" s="30">
        <f t="shared" ca="1" si="9"/>
        <v>63.029366781469747</v>
      </c>
      <c r="P20" s="30">
        <f t="shared" ca="1" si="10"/>
        <v>80.207287493826485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1336725</v>
      </c>
      <c r="N21" s="497">
        <f t="shared" ca="1" si="12"/>
        <v>1066213.05</v>
      </c>
      <c r="O21" s="497">
        <f t="shared" ca="1" si="9"/>
        <v>62.380459393520987</v>
      </c>
      <c r="P21" s="497">
        <f t="shared" ca="1" si="10"/>
        <v>79.763081411659087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1336725</v>
      </c>
      <c r="N23" s="93">
        <f t="shared" ca="1" si="13"/>
        <v>1066213.05</v>
      </c>
      <c r="O23" s="93">
        <f t="shared" ca="1" si="9"/>
        <v>62.380459393520987</v>
      </c>
      <c r="P23" s="93">
        <f t="shared" ca="1" si="10"/>
        <v>79.763081411659087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111218</v>
      </c>
      <c r="O28" s="22">
        <f t="shared" ref="O28:O37" ca="1" si="17">IF(L28&gt;0,N28*100/L28,0)</f>
        <v>44.207806661896811</v>
      </c>
      <c r="P28" s="22">
        <f t="shared" ref="P28:P37" ca="1" si="18">IF(M28&gt;0,N28*100/M28,0)</f>
        <v>44.207806661896811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111218</v>
      </c>
      <c r="O30" s="30">
        <f t="shared" ca="1" si="17"/>
        <v>44.207806661896811</v>
      </c>
      <c r="P30" s="30">
        <f t="shared" ca="1" si="18"/>
        <v>44.207806661896811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251580</v>
      </c>
      <c r="N31" s="497">
        <f t="shared" si="20"/>
        <v>111218</v>
      </c>
      <c r="O31" s="497">
        <f t="shared" ca="1" si="17"/>
        <v>44.207806661896811</v>
      </c>
      <c r="P31" s="497">
        <f t="shared" ca="1" si="18"/>
        <v>44.207806661896811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251580</v>
      </c>
      <c r="N33" s="93">
        <f t="shared" si="21"/>
        <v>111218</v>
      </c>
      <c r="O33" s="93">
        <f t="shared" ca="1" si="17"/>
        <v>44.207806661896811</v>
      </c>
      <c r="P33" s="93">
        <f t="shared" ca="1" si="18"/>
        <v>44.207806661896811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1366725</v>
      </c>
      <c r="N37" s="59">
        <f t="shared" ca="1" si="24"/>
        <v>1096213.05</v>
      </c>
      <c r="O37" s="59">
        <f t="shared" ca="1" si="17"/>
        <v>63.029366781469747</v>
      </c>
      <c r="P37" s="59">
        <f t="shared" ca="1" si="18"/>
        <v>80.207287493826485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132180</v>
      </c>
      <c r="N41" s="85">
        <f t="shared" ca="1" si="25"/>
        <v>102685</v>
      </c>
      <c r="O41" s="85">
        <f t="shared" ref="O41:O49" ca="1" si="26">IF(L41&gt;0,N41*100/L41,0)</f>
        <v>83.687856560717194</v>
      </c>
      <c r="P41" s="85">
        <f t="shared" ref="P41:P49" ca="1" si="27">IF(M41&gt;0,N41*100/M41,0)</f>
        <v>77.685731578151007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132180</v>
      </c>
      <c r="N43" s="92">
        <f t="shared" ca="1" si="28"/>
        <v>102685</v>
      </c>
      <c r="O43" s="92">
        <f t="shared" ca="1" si="26"/>
        <v>83.687856560717194</v>
      </c>
      <c r="P43" s="92">
        <f t="shared" ca="1" si="27"/>
        <v>77.685731578151007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132180</v>
      </c>
      <c r="N44" s="497">
        <f t="shared" ca="1" si="29"/>
        <v>102685</v>
      </c>
      <c r="O44" s="497">
        <f t="shared" ca="1" si="26"/>
        <v>83.687856560717194</v>
      </c>
      <c r="P44" s="497">
        <f t="shared" ca="1" si="27"/>
        <v>77.685731578151007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IFERROR(__xludf.DUMMYFUNCTION("IMPORTRANGE(""https://docs.google.com/spreadsheets/d/1MeEWN-I1oV_STSDYn1IFDPWt_1FKiwhDph83XaGc0o0/edit?usp=sharing"",""งบพรบ!R73"")"),132180)</f>
        <v>132180</v>
      </c>
      <c r="N46" s="93">
        <f ca="1">IFERROR(__xludf.DUMMYFUNCTION("IMPORTRANGE(""https://docs.google.com/spreadsheets/d/1MeEWN-I1oV_STSDYn1IFDPWt_1FKiwhDph83XaGc0o0/edit?usp=sharing"",""งบพรบ!T73"")"),102685)</f>
        <v>102685</v>
      </c>
      <c r="O46" s="93">
        <f t="shared" ca="1" si="26"/>
        <v>83.687856560717194</v>
      </c>
      <c r="P46" s="93">
        <f t="shared" ca="1" si="27"/>
        <v>77.685731578151007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629925</v>
      </c>
      <c r="N53" s="116">
        <f t="shared" ca="1" si="31"/>
        <v>582630.25</v>
      </c>
      <c r="O53" s="116">
        <f t="shared" ref="O53:O61" ca="1" si="32">IF(L53&gt;0,N53*100/L53,0)</f>
        <v>69.369002262174064</v>
      </c>
      <c r="P53" s="116">
        <f t="shared" ref="P53:P61" ca="1" si="33">IF(M53&gt;0,N53*100/M53,0)</f>
        <v>92.49200301623209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629925</v>
      </c>
      <c r="N55" s="123">
        <f t="shared" ca="1" si="34"/>
        <v>582630.25</v>
      </c>
      <c r="O55" s="123">
        <f t="shared" ca="1" si="32"/>
        <v>69.369002262174064</v>
      </c>
      <c r="P55" s="123">
        <f t="shared" ca="1" si="33"/>
        <v>92.49200301623209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629925</v>
      </c>
      <c r="N56" s="497">
        <f t="shared" ca="1" si="35"/>
        <v>582630.25</v>
      </c>
      <c r="O56" s="497">
        <f t="shared" ca="1" si="32"/>
        <v>69.369002262174064</v>
      </c>
      <c r="P56" s="497">
        <f t="shared" ca="1" si="33"/>
        <v>92.49200301623209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IFERROR(__xludf.DUMMYFUNCTION("IMPORTRANGE(""https://docs.google.com/spreadsheets/d/1MeEWN-I1oV_STSDYn1IFDPWt_1FKiwhDph83XaGc0o0/edit?usp=sharing"",""งบพรบ!AB73"")"),629925)</f>
        <v>629925</v>
      </c>
      <c r="N58" s="93">
        <f ca="1">IFERROR(__xludf.DUMMYFUNCTION("IMPORTRANGE(""https://docs.google.com/spreadsheets/d/1MeEWN-I1oV_STSDYn1IFDPWt_1FKiwhDph83XaGc0o0/edit?usp=sharing"",""งบพรบ!AD73"")"),582630.25)</f>
        <v>582630.25</v>
      </c>
      <c r="O58" s="93">
        <f t="shared" ca="1" si="32"/>
        <v>69.369002262174064</v>
      </c>
      <c r="P58" s="93">
        <f t="shared" ca="1" si="33"/>
        <v>92.49200301623209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136800</v>
      </c>
      <c r="N88" s="155">
        <f t="shared" ca="1" si="49"/>
        <v>117623.8</v>
      </c>
      <c r="O88" s="155">
        <f t="shared" ref="O88:O96" ca="1" si="50">IF(L88&gt;0,N88*100/L88,0)</f>
        <v>67.40618911174785</v>
      </c>
      <c r="P88" s="155">
        <f t="shared" ref="P88:P96" ca="1" si="51">IF(M88&gt;0,N88*100/M88,0)</f>
        <v>85.982309941520469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136800</v>
      </c>
      <c r="N90" s="93">
        <f t="shared" ca="1" si="52"/>
        <v>117623.8</v>
      </c>
      <c r="O90" s="93">
        <f t="shared" ca="1" si="50"/>
        <v>67.40618911174785</v>
      </c>
      <c r="P90" s="93">
        <f t="shared" ca="1" si="51"/>
        <v>85.982309941520469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136800</v>
      </c>
      <c r="N91" s="497">
        <f t="shared" ca="1" si="53"/>
        <v>117623.8</v>
      </c>
      <c r="O91" s="497">
        <f t="shared" ca="1" si="50"/>
        <v>67.40618911174785</v>
      </c>
      <c r="P91" s="497">
        <f t="shared" ca="1" si="51"/>
        <v>85.982309941520469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IFERROR(__xludf.DUMMYFUNCTION("IMPORTRANGE(""https://docs.google.com/spreadsheets/d/1MeEWN-I1oV_STSDYn1IFDPWt_1FKiwhDph83XaGc0o0/edit?usp=sharing"",""งบพรบ!AV73"")"),136800)</f>
        <v>136800</v>
      </c>
      <c r="N93" s="93">
        <f ca="1">IFERROR(__xludf.DUMMYFUNCTION("IMPORTRANGE(""https://docs.google.com/spreadsheets/d/1MeEWN-I1oV_STSDYn1IFDPWt_1FKiwhDph83XaGc0o0/edit?usp=sharing"",""งบพรบ!AX73"")"),117623.8)</f>
        <v>117623.8</v>
      </c>
      <c r="O93" s="93">
        <f t="shared" ca="1" si="50"/>
        <v>67.40618911174785</v>
      </c>
      <c r="P93" s="93">
        <f t="shared" ca="1" si="51"/>
        <v>85.982309941520469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17530</v>
      </c>
      <c r="N181" s="155">
        <f t="shared" ca="1" si="92"/>
        <v>12110</v>
      </c>
      <c r="O181" s="155">
        <f t="shared" ref="O181:O189" ca="1" si="93">IF(L181&gt;0,N181*100/L181,0)</f>
        <v>101.76470588235294</v>
      </c>
      <c r="P181" s="155">
        <f t="shared" ref="P181:P189" ca="1" si="94">IF(M181&gt;0,N181*100/M181,0)</f>
        <v>69.081574443810609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17530</v>
      </c>
      <c r="N183" s="93">
        <f t="shared" ca="1" si="95"/>
        <v>12110</v>
      </c>
      <c r="O183" s="93">
        <f t="shared" ca="1" si="93"/>
        <v>101.76470588235294</v>
      </c>
      <c r="P183" s="93">
        <f t="shared" ca="1" si="94"/>
        <v>69.081574443810609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17530</v>
      </c>
      <c r="N184" s="497">
        <f t="shared" ca="1" si="96"/>
        <v>12110</v>
      </c>
      <c r="O184" s="497">
        <f t="shared" ca="1" si="93"/>
        <v>101.76470588235294</v>
      </c>
      <c r="P184" s="497">
        <f t="shared" ca="1" si="94"/>
        <v>69.081574443810609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IFERROR(__xludf.DUMMYFUNCTION("IMPORTRANGE(""https://docs.google.com/spreadsheets/d/1MeEWN-I1oV_STSDYn1IFDPWt_1FKiwhDph83XaGc0o0/edit?usp=sharing"",""งบพรบ!CT73"")"),17530)</f>
        <v>17530</v>
      </c>
      <c r="N186" s="93">
        <f ca="1">IFERROR(__xludf.DUMMYFUNCTION("IMPORTRANGE(""https://docs.google.com/spreadsheets/d/1MeEWN-I1oV_STSDYn1IFDPWt_1FKiwhDph83XaGc0o0/edit?usp=sharing"",""งบพรบ!CV73"")"),12110)</f>
        <v>12110</v>
      </c>
      <c r="O186" s="93">
        <f t="shared" ca="1" si="93"/>
        <v>101.76470588235294</v>
      </c>
      <c r="P186" s="93">
        <f t="shared" ca="1" si="94"/>
        <v>69.081574443810609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2080</v>
      </c>
      <c r="O191" s="155">
        <f ca="1">IF(L191&gt;0,N191*100/L191,0)</f>
        <v>34.666666666666664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66660</v>
      </c>
      <c r="O261" s="155">
        <f t="shared" ref="O261:O269" ca="1" si="116">IF(L261&gt;0,N261*100/L261,0)</f>
        <v>42.056782334384856</v>
      </c>
      <c r="P261" s="155">
        <f t="shared" ref="P261:P269" ca="1" si="117">IF(M261&gt;0,N261*100/M261,0)</f>
        <v>57.218884120171673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66660</v>
      </c>
      <c r="O263" s="93">
        <f t="shared" ca="1" si="116"/>
        <v>42.056782334384856</v>
      </c>
      <c r="P263" s="93">
        <f t="shared" ca="1" si="117"/>
        <v>57.218884120171673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66660</v>
      </c>
      <c r="O264" s="497">
        <f t="shared" ca="1" si="116"/>
        <v>42.056782334384856</v>
      </c>
      <c r="P264" s="497">
        <f t="shared" ca="1" si="117"/>
        <v>57.218884120171673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IFERROR(__xludf.DUMMYFUNCTION("IMPORTRANGE(""https://docs.google.com/spreadsheets/d/1MeEWN-I1oV_STSDYn1IFDPWt_1FKiwhDph83XaGc0o0/edit?usp=sharing"",""งบพรบ!DD73"")"),116500)</f>
        <v>116500</v>
      </c>
      <c r="N266" s="93">
        <f ca="1">IFERROR(__xludf.DUMMYFUNCTION("IMPORTRANGE(""https://docs.google.com/spreadsheets/d/1MeEWN-I1oV_STSDYn1IFDPWt_1FKiwhDph83XaGc0o0/edit?usp=sharing"",""งบพรบ!DF73"")"),66660)</f>
        <v>66660</v>
      </c>
      <c r="O266" s="93">
        <f t="shared" ca="1" si="116"/>
        <v>42.056782334384856</v>
      </c>
      <c r="P266" s="93">
        <f t="shared" ca="1" si="117"/>
        <v>57.218884120171673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81</v>
      </c>
      <c r="K327" s="445">
        <f ca="1">IF(I327&gt;0,J327*100/I327,0)</f>
        <v>162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184504</v>
      </c>
      <c r="O328" s="155">
        <f t="shared" ref="O328:O336" ca="1" si="149">IF(L328&gt;0,N328*100/L328,0)</f>
        <v>52.178733031674206</v>
      </c>
      <c r="P328" s="155">
        <f t="shared" ref="P328:P336" ca="1" si="150">IF(M328&gt;0,N328*100/M328,0)</f>
        <v>68.921927530818081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184504</v>
      </c>
      <c r="O330" s="93">
        <f t="shared" ca="1" si="149"/>
        <v>52.178733031674206</v>
      </c>
      <c r="P330" s="93">
        <f t="shared" ca="1" si="150"/>
        <v>68.921927530818081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184504</v>
      </c>
      <c r="O331" s="497">
        <f t="shared" ca="1" si="149"/>
        <v>52.178733031674206</v>
      </c>
      <c r="P331" s="497">
        <f t="shared" ca="1" si="150"/>
        <v>68.921927530818081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IFERROR(__xludf.DUMMYFUNCTION("IMPORTRANGE(""https://docs.google.com/spreadsheets/d/1MeEWN-I1oV_STSDYn1IFDPWt_1FKiwhDph83XaGc0o0/edit?usp=sharing"",""งบพรบ!ER73"")"),267700)</f>
        <v>267700</v>
      </c>
      <c r="N333" s="93">
        <f ca="1">IFERROR(__xludf.DUMMYFUNCTION("IMPORTRANGE(""https://docs.google.com/spreadsheets/d/1MeEWN-I1oV_STSDYn1IFDPWt_1FKiwhDph83XaGc0o0/edit?usp=sharing"",""งบพรบ!ET73"")"),184504)</f>
        <v>184504</v>
      </c>
      <c r="O333" s="93">
        <f t="shared" ca="1" si="149"/>
        <v>52.178733031674206</v>
      </c>
      <c r="P333" s="93">
        <f t="shared" ca="1" si="150"/>
        <v>68.921927530818081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IFERROR(__xludf.DUMMYFUNCTION("IMPORTRANGE(""https://docs.google.com/spreadsheets/d/1kVcqe37tkHyjCSG3S0O1AXqVkqjo8mSIZil3BcpIysc/edit?usp=sharing"",""ศูนย์!D73"")"),29)</f>
        <v>29</v>
      </c>
      <c r="K338" s="497">
        <f ca="1">IF(I338&gt;0,J338*100/I338,0)</f>
        <v>58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66090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45.392646391284615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66090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45.392646391284615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36090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IFERROR(__xludf.DUMMYFUNCTION("IMPORTRANGE(""https://docs.google.com/spreadsheets/d/1MeEWN-I1oV_STSDYn1IFDPWt_1FKiwhDph83XaGc0o0/edit?usp=sharing"",""งบพรบ!FB73"")"),36090)</f>
        <v>36090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251580</v>
      </c>
      <c r="N414" s="549">
        <f t="shared" si="180"/>
        <v>111218</v>
      </c>
      <c r="O414" s="549">
        <f ca="1">IF(L414&gt;0,N414*100/L414,0)</f>
        <v>44.207806661896811</v>
      </c>
      <c r="P414" s="549">
        <f ca="1">IF(M414&gt;0,N414*100/M414,0)</f>
        <v>44.207806661896811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48413</v>
      </c>
      <c r="O419" s="155">
        <f t="shared" ref="O419:O424" ca="1" si="184">IF(L419&gt;0,N419*100/L419,0)</f>
        <v>88.73350439882698</v>
      </c>
      <c r="P419" s="155">
        <f t="shared" ref="P419:P424" ca="1" si="185">IF(M419&gt;0,N419*100/M419,0)</f>
        <v>88.73350439882698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48413</v>
      </c>
      <c r="O421" s="93">
        <f t="shared" ca="1" si="184"/>
        <v>88.73350439882698</v>
      </c>
      <c r="P421" s="93">
        <f t="shared" ca="1" si="185"/>
        <v>88.73350439882698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48413</v>
      </c>
      <c r="O422" s="497">
        <f t="shared" ca="1" si="184"/>
        <v>88.73350439882698</v>
      </c>
      <c r="P422" s="497">
        <f t="shared" ca="1" si="185"/>
        <v>88.73350439882698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48413</v>
      </c>
      <c r="O424" s="93">
        <f t="shared" ca="1" si="184"/>
        <v>88.73350439882698</v>
      </c>
      <c r="P424" s="93">
        <f t="shared" ca="1" si="185"/>
        <v>88.73350439882698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</f>
        <v>37773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60708</v>
      </c>
      <c r="O444" s="195">
        <f t="shared" ref="O444:O449" ca="1" si="197">IF(L444&gt;0,N444*100/L444,0)</f>
        <v>70.296433534043544</v>
      </c>
      <c r="P444" s="195">
        <f t="shared" ref="P444:P449" ca="1" si="198">IF(M444&gt;0,N444*100/M444,0)</f>
        <v>70.296433534043544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60708</v>
      </c>
      <c r="O446" s="93">
        <f t="shared" ca="1" si="197"/>
        <v>70.296433534043544</v>
      </c>
      <c r="P446" s="93">
        <f t="shared" ca="1" si="198"/>
        <v>70.296433534043544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60708</v>
      </c>
      <c r="O447" s="497">
        <f t="shared" ca="1" si="197"/>
        <v>70.296433534043544</v>
      </c>
      <c r="P447" s="497">
        <f t="shared" ca="1" si="198"/>
        <v>70.296433534043544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60708</v>
      </c>
      <c r="O449" s="93">
        <f t="shared" ca="1" si="197"/>
        <v>70.296433534043544</v>
      </c>
      <c r="P449" s="93">
        <f t="shared" ca="1" si="198"/>
        <v>70.296433534043544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26890+3000+1400+6000+350</f>
        <v>37640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19568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10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ca="1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0</v>
      </c>
      <c r="O546" s="93">
        <f t="shared" ca="1" si="236"/>
        <v>0</v>
      </c>
      <c r="P546" s="93">
        <f t="shared" ca="1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0</v>
      </c>
      <c r="O547" s="497">
        <f t="shared" ca="1" si="236"/>
        <v>0</v>
      </c>
      <c r="P547" s="497">
        <f t="shared" ca="1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0</v>
      </c>
      <c r="O549" s="93">
        <f t="shared" ca="1" si="236"/>
        <v>0</v>
      </c>
      <c r="P549" s="93">
        <f t="shared" ca="1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258.67</v>
      </c>
      <c r="K592" s="672">
        <f t="shared" ref="K592:K594" ca="1" si="253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258.67</v>
      </c>
      <c r="K593" s="411">
        <f t="shared" ca="1" si="253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258.67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258.67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2097</v>
      </c>
      <c r="O655" s="195">
        <f t="shared" ref="O655:O660" ca="1" si="273">IF(L655&gt;0,N655*100/L655,0)</f>
        <v>16.911290322580644</v>
      </c>
      <c r="P655" s="195">
        <f t="shared" ref="P655:P660" ca="1" si="274">IF(M655&gt;0,N655*100/M655,0)</f>
        <v>16.911290322580644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2097</v>
      </c>
      <c r="O657" s="93">
        <f t="shared" ca="1" si="273"/>
        <v>16.911290322580644</v>
      </c>
      <c r="P657" s="93">
        <f t="shared" ca="1" si="274"/>
        <v>16.911290322580644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2097</v>
      </c>
      <c r="O658" s="497">
        <f t="shared" ca="1" si="273"/>
        <v>16.911290322580644</v>
      </c>
      <c r="P658" s="497">
        <f t="shared" ca="1" si="274"/>
        <v>16.911290322580644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</f>
        <v>12400</v>
      </c>
      <c r="N660" s="93">
        <f>N661+N662+N663+N664</f>
        <v>2097</v>
      </c>
      <c r="O660" s="93">
        <f t="shared" ca="1" si="273"/>
        <v>16.911290322580644</v>
      </c>
      <c r="P660" s="93">
        <f t="shared" ca="1" si="274"/>
        <v>16.911290322580644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2097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900">
        <v>58.2</v>
      </c>
      <c r="K672" s="497">
        <f t="shared" ref="K672:K675" ca="1" si="280">IF(I$669&gt;0,J672*100/I$669,0)</f>
        <v>58.2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900">
        <v>47.38</v>
      </c>
      <c r="K673" s="497">
        <f t="shared" ca="1" si="280"/>
        <v>47.38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334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334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IFERROR(__xludf.DUMMYFUNCTION("IMPORTRANGE(""https://docs.google.com/spreadsheets/d/19vJNZY_5yjcGF2XGBMNZRCAIB0Kwfpjp8YEOfu-bneM/edit?usp=sharing"",""งานกองทุน!U73"")"),150000)</f>
        <v>150000</v>
      </c>
      <c r="K827" s="497">
        <f t="shared" ca="1" si="334"/>
        <v>22.058823529411764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IFERROR(__xludf.DUMMYFUNCTION("IMPORTRANGE(""https://docs.google.com/spreadsheets/d/19vJNZY_5yjcGF2XGBMNZRCAIB0Kwfpjp8YEOfu-bneM/edit?usp=sharing"",""งานกองทุน!T73"")"),5)</f>
        <v>5</v>
      </c>
      <c r="K828" s="502">
        <f t="shared" ca="1" si="334"/>
        <v>18.518518518518519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FC0E5-C541-48B0-835F-71CF17B88E44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3609114</v>
      </c>
      <c r="N8" s="22">
        <f t="shared" ca="1" si="0"/>
        <v>2658111.71</v>
      </c>
      <c r="O8" s="22">
        <f t="shared" ref="O8:O16" ca="1" si="1">IF(L8&gt;0,N8*100/L8,0)</f>
        <v>77.168194627542661</v>
      </c>
      <c r="P8" s="22">
        <f t="shared" ref="P8:P16" ca="1" si="2">IF(M8&gt;0,N8*100/M8,0)</f>
        <v>73.649979191568903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3609114</v>
      </c>
      <c r="N10" s="30">
        <f t="shared" ca="1" si="3"/>
        <v>2658111.71</v>
      </c>
      <c r="O10" s="30">
        <f t="shared" ca="1" si="1"/>
        <v>77.168194627542661</v>
      </c>
      <c r="P10" s="30">
        <f t="shared" ca="1" si="2"/>
        <v>73.649979191568903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2859714</v>
      </c>
      <c r="N11" s="497">
        <f t="shared" ca="1" si="4"/>
        <v>1908711.71</v>
      </c>
      <c r="O11" s="497">
        <f t="shared" ca="1" si="1"/>
        <v>58.185884270946346</v>
      </c>
      <c r="P11" s="497">
        <f t="shared" ca="1" si="2"/>
        <v>66.744846162937975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2859714</v>
      </c>
      <c r="N13" s="93">
        <f t="shared" ca="1" si="5"/>
        <v>1908711.71</v>
      </c>
      <c r="O13" s="93">
        <f t="shared" ca="1" si="1"/>
        <v>58.185884270946346</v>
      </c>
      <c r="P13" s="93">
        <f t="shared" ca="1" si="2"/>
        <v>66.744846162937975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2799281</v>
      </c>
      <c r="N18" s="22">
        <f t="shared" ca="1" si="8"/>
        <v>2402847.71</v>
      </c>
      <c r="O18" s="22">
        <f t="shared" ref="O18:O26" ca="1" si="9">IF(L18&gt;0,N18*100/L18,0)</f>
        <v>91.198803599297989</v>
      </c>
      <c r="P18" s="22">
        <f t="shared" ref="P18:P26" ca="1" si="10">IF(M18&gt;0,N18*100/M18,0)</f>
        <v>85.838031623120372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2799281</v>
      </c>
      <c r="N20" s="30">
        <f t="shared" ca="1" si="11"/>
        <v>2402847.71</v>
      </c>
      <c r="O20" s="30">
        <f t="shared" ca="1" si="9"/>
        <v>91.198803599297989</v>
      </c>
      <c r="P20" s="30">
        <f t="shared" ca="1" si="10"/>
        <v>85.838031623120372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2049881</v>
      </c>
      <c r="N21" s="497">
        <f t="shared" ca="1" si="12"/>
        <v>1653447.71</v>
      </c>
      <c r="O21" s="497">
        <f t="shared" ca="1" si="9"/>
        <v>66.926679473604111</v>
      </c>
      <c r="P21" s="497">
        <f t="shared" ca="1" si="10"/>
        <v>80.66066810707548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2049881</v>
      </c>
      <c r="N23" s="93">
        <f t="shared" ca="1" si="13"/>
        <v>1653447.71</v>
      </c>
      <c r="O23" s="93">
        <f t="shared" ca="1" si="9"/>
        <v>66.926679473604111</v>
      </c>
      <c r="P23" s="93">
        <f t="shared" ca="1" si="10"/>
        <v>80.66066810707548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255264</v>
      </c>
      <c r="O28" s="22">
        <f t="shared" ref="O28:O37" ca="1" si="17">IF(L28&gt;0,N28*100/L28,0)</f>
        <v>31.520572760062876</v>
      </c>
      <c r="P28" s="22">
        <f t="shared" ref="P28:P37" ca="1" si="18">IF(M28&gt;0,N28*100/M28,0)</f>
        <v>31.520572760062876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255264</v>
      </c>
      <c r="O30" s="30">
        <f t="shared" ca="1" si="17"/>
        <v>31.520572760062876</v>
      </c>
      <c r="P30" s="30">
        <f t="shared" ca="1" si="18"/>
        <v>31.520572760062876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809833</v>
      </c>
      <c r="N31" s="497">
        <f t="shared" si="20"/>
        <v>255264</v>
      </c>
      <c r="O31" s="497">
        <f t="shared" ca="1" si="17"/>
        <v>31.520572760062876</v>
      </c>
      <c r="P31" s="497">
        <f t="shared" ca="1" si="18"/>
        <v>31.520572760062876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809833</v>
      </c>
      <c r="N33" s="93">
        <f t="shared" si="21"/>
        <v>255264</v>
      </c>
      <c r="O33" s="93">
        <f t="shared" ca="1" si="17"/>
        <v>31.520572760062876</v>
      </c>
      <c r="P33" s="93">
        <f t="shared" ca="1" si="18"/>
        <v>31.520572760062876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2799281</v>
      </c>
      <c r="N37" s="59">
        <f t="shared" ca="1" si="24"/>
        <v>2402847.71</v>
      </c>
      <c r="O37" s="59">
        <f t="shared" ca="1" si="17"/>
        <v>91.198803599297989</v>
      </c>
      <c r="P37" s="59">
        <f t="shared" ca="1" si="18"/>
        <v>85.838031623120372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307486</v>
      </c>
      <c r="N41" s="85">
        <f t="shared" ca="1" si="25"/>
        <v>275136</v>
      </c>
      <c r="O41" s="85">
        <f t="shared" ref="O41:O49" ca="1" si="26">IF(L41&gt;0,N41*100/L41,0)</f>
        <v>91.989194104902779</v>
      </c>
      <c r="P41" s="85">
        <f t="shared" ref="P41:P49" ca="1" si="27">IF(M41&gt;0,N41*100/M41,0)</f>
        <v>89.479195800784424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307486</v>
      </c>
      <c r="N43" s="92">
        <f t="shared" ca="1" si="28"/>
        <v>275136</v>
      </c>
      <c r="O43" s="92">
        <f t="shared" ca="1" si="26"/>
        <v>91.989194104902779</v>
      </c>
      <c r="P43" s="92">
        <f t="shared" ca="1" si="27"/>
        <v>89.479195800784424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307486</v>
      </c>
      <c r="N44" s="497">
        <f t="shared" ca="1" si="29"/>
        <v>275136</v>
      </c>
      <c r="O44" s="497">
        <f t="shared" ca="1" si="26"/>
        <v>91.989194104902779</v>
      </c>
      <c r="P44" s="497">
        <f t="shared" ca="1" si="27"/>
        <v>89.479195800784424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IFERROR(__xludf.DUMMYFUNCTION("IMPORTRANGE(""https://docs.google.com/spreadsheets/d/1MeEWN-I1oV_STSDYn1IFDPWt_1FKiwhDph83XaGc0o0/edit?usp=sharing"",""งบพรบ!R54"")"),307486)</f>
        <v>307486</v>
      </c>
      <c r="N46" s="93">
        <f ca="1">IFERROR(__xludf.DUMMYFUNCTION("IMPORTRANGE(""https://docs.google.com/spreadsheets/d/1MeEWN-I1oV_STSDYn1IFDPWt_1FKiwhDph83XaGc0o0/edit?usp=sharing"",""งบพรบ!T54"")"),275136)</f>
        <v>275136</v>
      </c>
      <c r="O46" s="93">
        <f t="shared" ca="1" si="26"/>
        <v>91.989194104902779</v>
      </c>
      <c r="P46" s="93">
        <f t="shared" ca="1" si="27"/>
        <v>89.479195800784424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1105100</v>
      </c>
      <c r="N53" s="116">
        <f t="shared" ca="1" si="31"/>
        <v>1011474.71</v>
      </c>
      <c r="O53" s="116">
        <f t="shared" ref="O53:O61" ca="1" si="32">IF(L53&gt;0,N53*100/L53,0)</f>
        <v>163.88119086195724</v>
      </c>
      <c r="P53" s="116">
        <f t="shared" ref="P53:P61" ca="1" si="33">IF(M53&gt;0,N53*100/M53,0)</f>
        <v>91.527889783729975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1105100</v>
      </c>
      <c r="N55" s="123">
        <f t="shared" ca="1" si="34"/>
        <v>1011474.71</v>
      </c>
      <c r="O55" s="123">
        <f t="shared" ca="1" si="32"/>
        <v>163.88119086195724</v>
      </c>
      <c r="P55" s="123">
        <f t="shared" ca="1" si="33"/>
        <v>91.527889783729975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519900</v>
      </c>
      <c r="N56" s="497">
        <f t="shared" ca="1" si="35"/>
        <v>426274.71</v>
      </c>
      <c r="O56" s="497">
        <f t="shared" ca="1" si="32"/>
        <v>69.065895981853529</v>
      </c>
      <c r="P56" s="497">
        <f t="shared" ca="1" si="33"/>
        <v>81.991673398730526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IFERROR(__xludf.DUMMYFUNCTION("IMPORTRANGE(""https://docs.google.com/spreadsheets/d/1MeEWN-I1oV_STSDYn1IFDPWt_1FKiwhDph83XaGc0o0/edit?usp=sharing"",""งบพรบ!AB54"")"),519900)</f>
        <v>519900</v>
      </c>
      <c r="N58" s="93">
        <f ca="1">IFERROR(__xludf.DUMMYFUNCTION("IMPORTRANGE(""https://docs.google.com/spreadsheets/d/1MeEWN-I1oV_STSDYn1IFDPWt_1FKiwhDph83XaGc0o0/edit?usp=sharing"",""งบพรบ!AD54"")"),426274.71)</f>
        <v>426274.71</v>
      </c>
      <c r="O58" s="93">
        <f t="shared" ca="1" si="32"/>
        <v>69.065895981853529</v>
      </c>
      <c r="P58" s="93">
        <f t="shared" ca="1" si="33"/>
        <v>81.991673398730526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267890</v>
      </c>
      <c r="N88" s="155">
        <f t="shared" ca="1" si="49"/>
        <v>214927</v>
      </c>
      <c r="O88" s="155">
        <f t="shared" ref="O88:O96" ca="1" si="50">IF(L88&gt;0,N88*100/L88,0)</f>
        <v>56.732921549994721</v>
      </c>
      <c r="P88" s="155">
        <f t="shared" ref="P88:P96" ca="1" si="51">IF(M88&gt;0,N88*100/M88,0)</f>
        <v>80.229571839187727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267890</v>
      </c>
      <c r="N90" s="93">
        <f t="shared" ca="1" si="52"/>
        <v>214927</v>
      </c>
      <c r="O90" s="93">
        <f t="shared" ca="1" si="50"/>
        <v>56.732921549994721</v>
      </c>
      <c r="P90" s="93">
        <f t="shared" ca="1" si="51"/>
        <v>80.229571839187727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267890</v>
      </c>
      <c r="N91" s="497">
        <f t="shared" ca="1" si="53"/>
        <v>214927</v>
      </c>
      <c r="O91" s="497">
        <f t="shared" ca="1" si="50"/>
        <v>56.732921549994721</v>
      </c>
      <c r="P91" s="497">
        <f t="shared" ca="1" si="51"/>
        <v>80.229571839187727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IFERROR(__xludf.DUMMYFUNCTION("IMPORTRANGE(""https://docs.google.com/spreadsheets/d/1MeEWN-I1oV_STSDYn1IFDPWt_1FKiwhDph83XaGc0o0/edit?usp=sharing"",""งบพรบ!AV54"")"),267890)</f>
        <v>267890</v>
      </c>
      <c r="N93" s="93">
        <f ca="1">IFERROR(__xludf.DUMMYFUNCTION("IMPORTRANGE(""https://docs.google.com/spreadsheets/d/1MeEWN-I1oV_STSDYn1IFDPWt_1FKiwhDph83XaGc0o0/edit?usp=sharing"",""งบพรบ!AX54"")"),214927)</f>
        <v>214927</v>
      </c>
      <c r="O93" s="93">
        <f t="shared" ca="1" si="50"/>
        <v>56.732921549994721</v>
      </c>
      <c r="P93" s="93">
        <f t="shared" ca="1" si="51"/>
        <v>80.229571839187727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31990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31990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31990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IFERROR(__xludf.DUMMYFUNCTION("IMPORTRANGE(""https://docs.google.com/spreadsheets/d/1MeEWN-I1oV_STSDYn1IFDPWt_1FKiwhDph83XaGc0o0/edit?usp=sharing"",""งบพรบ!CJ54"")"),31990)</f>
        <v>31990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136500</v>
      </c>
      <c r="N181" s="155">
        <f t="shared" ca="1" si="92"/>
        <v>87067</v>
      </c>
      <c r="O181" s="155">
        <f t="shared" ref="O181:O189" ca="1" si="93">IF(L181&gt;0,N181*100/L181,0)</f>
        <v>61.271639690358903</v>
      </c>
      <c r="P181" s="155">
        <f t="shared" ref="P181:P189" ca="1" si="94">IF(M181&gt;0,N181*100/M181,0)</f>
        <v>63.785347985347983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136500</v>
      </c>
      <c r="N183" s="93">
        <f t="shared" ca="1" si="95"/>
        <v>87067</v>
      </c>
      <c r="O183" s="93">
        <f t="shared" ca="1" si="93"/>
        <v>61.271639690358903</v>
      </c>
      <c r="P183" s="93">
        <f t="shared" ca="1" si="94"/>
        <v>63.785347985347983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136500</v>
      </c>
      <c r="N184" s="497">
        <f t="shared" ca="1" si="96"/>
        <v>87067</v>
      </c>
      <c r="O184" s="497">
        <f t="shared" ca="1" si="93"/>
        <v>61.271639690358903</v>
      </c>
      <c r="P184" s="497">
        <f t="shared" ca="1" si="94"/>
        <v>63.785347985347983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IFERROR(__xludf.DUMMYFUNCTION("IMPORTRANGE(""https://docs.google.com/spreadsheets/d/1MeEWN-I1oV_STSDYn1IFDPWt_1FKiwhDph83XaGc0o0/edit?usp=sharing"",""งบพรบ!CT54"")"),136500)</f>
        <v>136500</v>
      </c>
      <c r="N186" s="93">
        <f ca="1">IFERROR(__xludf.DUMMYFUNCTION("IMPORTRANGE(""https://docs.google.com/spreadsheets/d/1MeEWN-I1oV_STSDYn1IFDPWt_1FKiwhDph83XaGc0o0/edit?usp=sharing"",""งบพรบ!CV54"")"),87067)</f>
        <v>87067</v>
      </c>
      <c r="O186" s="93">
        <f t="shared" ca="1" si="93"/>
        <v>61.271639690358903</v>
      </c>
      <c r="P186" s="93">
        <f t="shared" ca="1" si="94"/>
        <v>63.785347985347983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3515</v>
      </c>
      <c r="O191" s="155">
        <f ca="1">IF(L191&gt;0,N191*100/L191,0)</f>
        <v>58.583333333333336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16520</v>
      </c>
      <c r="O198" s="155">
        <f ca="1">IF(L198&gt;0,N198*100/L198,0)</f>
        <v>63.53846153846154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520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7740</v>
      </c>
      <c r="O209" s="155">
        <f ca="1">IF(L209&gt;0,N209*100/L209,0)</f>
        <v>55.285714285714285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7740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28340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3280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25060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28340</v>
      </c>
      <c r="O238" s="155">
        <f ca="1">IF(L238&gt;0,N238*100/L238,0)</f>
        <v>31.842696629213481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72">
        <v>3280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72">
        <v>25060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20725</v>
      </c>
      <c r="O261" s="155">
        <f t="shared" ref="O261:O269" ca="1" si="117">IF(L261&gt;0,N261*100/L261,0)</f>
        <v>77.044609665427515</v>
      </c>
      <c r="P261" s="155">
        <f t="shared" ref="P261:P269" ca="1" si="118">IF(M261&gt;0,N261*100/M261,0)</f>
        <v>86.71548117154812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20725</v>
      </c>
      <c r="O263" s="93">
        <f t="shared" ca="1" si="117"/>
        <v>77.044609665427515</v>
      </c>
      <c r="P263" s="93">
        <f t="shared" ca="1" si="118"/>
        <v>86.71548117154812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20725</v>
      </c>
      <c r="O264" s="497">
        <f t="shared" ca="1" si="117"/>
        <v>77.044609665427515</v>
      </c>
      <c r="P264" s="497">
        <f t="shared" ca="1" si="118"/>
        <v>86.71548117154812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IFERROR(__xludf.DUMMYFUNCTION("IMPORTRANGE(""https://docs.google.com/spreadsheets/d/1MeEWN-I1oV_STSDYn1IFDPWt_1FKiwhDph83XaGc0o0/edit?usp=sharing"",""งบพรบ!DD54"")"),23900)</f>
        <v>23900</v>
      </c>
      <c r="N266" s="93">
        <f ca="1">IFERROR(__xludf.DUMMYFUNCTION("IMPORTRANGE(""https://docs.google.com/spreadsheets/d/1MeEWN-I1oV_STSDYn1IFDPWt_1FKiwhDph83XaGc0o0/edit?usp=sharing"",""งบพรบ!DF54"")"),20725)</f>
        <v>20725</v>
      </c>
      <c r="O266" s="93">
        <f t="shared" ca="1" si="117"/>
        <v>77.044609665427515</v>
      </c>
      <c r="P266" s="93">
        <f t="shared" ca="1" si="118"/>
        <v>86.71548117154812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1384</v>
      </c>
      <c r="K327" s="445">
        <f ca="1">IF(I327&gt;0,J327*100/I327,0)</f>
        <v>86.5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100496</v>
      </c>
      <c r="O328" s="155">
        <f t="shared" ref="O328:O336" ca="1" si="150">IF(L328&gt;0,N328*100/L328,0)</f>
        <v>59.115294117647061</v>
      </c>
      <c r="P328" s="155">
        <f t="shared" ref="P328:P336" ca="1" si="151">IF(M328&gt;0,N328*100/M328,0)</f>
        <v>77.304615384615389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100496</v>
      </c>
      <c r="O330" s="93">
        <f t="shared" ca="1" si="150"/>
        <v>59.115294117647061</v>
      </c>
      <c r="P330" s="93">
        <f t="shared" ca="1" si="151"/>
        <v>77.304615384615389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100496</v>
      </c>
      <c r="O331" s="497">
        <f t="shared" ca="1" si="150"/>
        <v>59.115294117647061</v>
      </c>
      <c r="P331" s="497">
        <f t="shared" ca="1" si="151"/>
        <v>77.304615384615389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IFERROR(__xludf.DUMMYFUNCTION("IMPORTRANGE(""https://docs.google.com/spreadsheets/d/1MeEWN-I1oV_STSDYn1IFDPWt_1FKiwhDph83XaGc0o0/edit?usp=sharing"",""งบพรบ!ER54"")"),130000)</f>
        <v>130000</v>
      </c>
      <c r="N333" s="93">
        <f ca="1">IFERROR(__xludf.DUMMYFUNCTION("IMPORTRANGE(""https://docs.google.com/spreadsheets/d/1MeEWN-I1oV_STSDYn1IFDPWt_1FKiwhDph83XaGc0o0/edit?usp=sharing"",""งบพรบ!ET54"")"),100496)</f>
        <v>100496</v>
      </c>
      <c r="O333" s="93">
        <f t="shared" ca="1" si="150"/>
        <v>59.115294117647061</v>
      </c>
      <c r="P333" s="93">
        <f t="shared" ca="1" si="151"/>
        <v>77.304615384615389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IFERROR(__xludf.DUMMYFUNCTION("IMPORTRANGE(""https://docs.google.com/spreadsheets/d/1kVcqe37tkHyjCSG3S0O1AXqVkqjo8mSIZil3BcpIysc/edit?usp=sharing"",""ศูนย์!D54"")"),1299)</f>
        <v>1299</v>
      </c>
      <c r="K338" s="497">
        <f ca="1">IF(I338&gt;0,J338*100/I338,0)</f>
        <v>81.1875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IFERROR(__xludf.DUMMYFUNCTION("IMPORTRANGE(""https://docs.google.com/spreadsheets/d/1kVcqe37tkHyjCSG3S0O1AXqVkqjo8mSIZil3BcpIysc/edit?usp=sharing"",""ศูนย์!F54"")"),80)</f>
        <v>80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IFERROR(__xludf.DUMMYFUNCTION("IMPORTRANGE(""https://docs.google.com/spreadsheets/d/1kVcqe37tkHyjCSG3S0O1AXqVkqjo8mSIZil3BcpIysc/edit?usp=sharing"",""ศูนย์!G54"")"),5)</f>
        <v>5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794175</v>
      </c>
      <c r="N345" s="155">
        <f t="shared" ca="1" si="155"/>
        <v>658792</v>
      </c>
      <c r="O345" s="155">
        <f t="shared" ref="O345:O353" ca="1" si="156">IF(L345&gt;0,N345*100/L345,0)</f>
        <v>67.25455566331479</v>
      </c>
      <c r="P345" s="155">
        <f t="shared" ref="P345:P353" ca="1" si="157">IF(M345&gt;0,N345*100/M345,0)</f>
        <v>82.953001542481189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794175</v>
      </c>
      <c r="N347" s="93">
        <f t="shared" ca="1" si="158"/>
        <v>658792</v>
      </c>
      <c r="O347" s="93">
        <f t="shared" ca="1" si="156"/>
        <v>67.25455566331479</v>
      </c>
      <c r="P347" s="93">
        <f t="shared" ca="1" si="157"/>
        <v>82.953001542481189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629975</v>
      </c>
      <c r="N348" s="497">
        <f t="shared" ca="1" si="159"/>
        <v>494592</v>
      </c>
      <c r="O348" s="497">
        <f t="shared" ca="1" si="156"/>
        <v>60.660084626234131</v>
      </c>
      <c r="P348" s="497">
        <f t="shared" ca="1" si="157"/>
        <v>78.509782134211676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IFERROR(__xludf.DUMMYFUNCTION("IMPORTRANGE(""https://docs.google.com/spreadsheets/d/1MeEWN-I1oV_STSDYn1IFDPWt_1FKiwhDph83XaGc0o0/edit?usp=sharing"",""งบพรบ!FB54"")"),629975)</f>
        <v>629975</v>
      </c>
      <c r="N350" s="93">
        <f ca="1">IFERROR(__xludf.DUMMYFUNCTION("IMPORTRANGE(""https://docs.google.com/spreadsheets/d/1MeEWN-I1oV_STSDYn1IFDPWt_1FKiwhDph83XaGc0o0/edit?usp=sharing"",""งบพรบ!FD54"")"),494592)</f>
        <v>494592</v>
      </c>
      <c r="O350" s="93">
        <f t="shared" ca="1" si="156"/>
        <v>60.660084626234131</v>
      </c>
      <c r="P350" s="93">
        <f t="shared" ca="1" si="157"/>
        <v>78.509782134211676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34</v>
      </c>
      <c r="K355" s="465">
        <f ca="1">IF(I355&gt;0,J355*100/I355,0)</f>
        <v>13.333333333333334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IFERROR(__xludf.DUMMYFUNCTION("IMPORTRANGE(""https://docs.google.com/spreadsheets/d/1XWAQStnk-4SwqDmLtmXYiTMKHgktTP8We1SCoS47DrQ/edit?usp=sharing"",""จัดที่ดิน!W54"")"),159)</f>
        <v>159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IFERROR(__xludf.DUMMYFUNCTION("IMPORTRANGE(""https://docs.google.com/spreadsheets/d/1XWAQStnk-4SwqDmLtmXYiTMKHgktTP8We1SCoS47DrQ/edit?usp=sharing"",""จัดที่ดิน!X54"")"),1382.94999999999)</f>
        <v>1382.94999999999</v>
      </c>
      <c r="K359" s="497">
        <f t="shared" ca="1" si="161"/>
        <v>37.377027027026763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IFERROR(__xludf.DUMMYFUNCTION("IMPORTRANGE(""https://docs.google.com/spreadsheets/d/1XWAQStnk-4SwqDmLtmXYiTMKHgktTP8We1SCoS47DrQ/edit?usp=sharing"",""จัดที่ดิน!Y54"")"),48)</f>
        <v>48</v>
      </c>
      <c r="K360" s="497">
        <f t="shared" ca="1" si="161"/>
        <v>18.823529411764707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IFERROR(__xludf.DUMMYFUNCTION("IMPORTRANGE(""https://docs.google.com/spreadsheets/d/1XWAQStnk-4SwqDmLtmXYiTMKHgktTP8We1SCoS47DrQ/edit?usp=sharing"",""จัดที่ดิน!Z54"")"),470.94)</f>
        <v>470.94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IFERROR(__xludf.DUMMYFUNCTION("IMPORTRANGE(""https://docs.google.com/spreadsheets/d/1XWAQStnk-4SwqDmLtmXYiTMKHgktTP8We1SCoS47DrQ/edit?usp=sharing"",""จัดที่ดิน!AA54"")"),34)</f>
        <v>34</v>
      </c>
      <c r="K362" s="497">
        <f t="shared" ca="1" si="161"/>
        <v>13.333333333333334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IFERROR(__xludf.DUMMYFUNCTION("IMPORTRANGE(""https://docs.google.com/spreadsheets/d/1XWAQStnk-4SwqDmLtmXYiTMKHgktTP8We1SCoS47DrQ/edit?usp=sharing"",""จัดที่ดิน!AB54"")"),254.609999999999)</f>
        <v>254.60999999999899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133</v>
      </c>
      <c r="K364" s="479">
        <f t="shared" ca="1" si="161"/>
        <v>37.464788732394368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32</v>
      </c>
      <c r="K365" s="491">
        <f t="shared" ca="1" si="161"/>
        <v>15.609756097560975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IFERROR(__xludf.DUMMYFUNCTION("IMPORTRANGE(""https://docs.google.com/spreadsheets/d/1XWAQStnk-4SwqDmLtmXYiTMKHgktTP8We1SCoS47DrQ/edit?usp=sharing"",""จัดที่ดิน!E54"")"),65)</f>
        <v>65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IFERROR(__xludf.DUMMYFUNCTION("IMPORTRANGE(""https://docs.google.com/spreadsheets/d/1XWAQStnk-4SwqDmLtmXYiTMKHgktTP8We1SCoS47DrQ/edit?usp=sharing"",""จัดที่ดิน!F54"")"),708.55)</f>
        <v>708.55</v>
      </c>
      <c r="K369" s="497">
        <f t="shared" ca="1" si="163"/>
        <v>26.242592592592594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IFERROR(__xludf.DUMMYFUNCTION("IMPORTRANGE(""https://docs.google.com/spreadsheets/d/1XWAQStnk-4SwqDmLtmXYiTMKHgktTP8We1SCoS47DrQ/edit?usp=sharing"",""จัดที่ดิน!G54"")"),46)</f>
        <v>46</v>
      </c>
      <c r="K370" s="497">
        <f t="shared" ca="1" si="163"/>
        <v>22.439024390243901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IFERROR(__xludf.DUMMYFUNCTION("IMPORTRANGE(""https://docs.google.com/spreadsheets/d/1XWAQStnk-4SwqDmLtmXYiTMKHgktTP8We1SCoS47DrQ/edit?usp=sharing"",""จัดที่ดิน!H54"")"),465.65)</f>
        <v>465.65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IFERROR(__xludf.DUMMYFUNCTION("IMPORTRANGE(""https://docs.google.com/spreadsheets/d/1XWAQStnk-4SwqDmLtmXYiTMKHgktTP8We1SCoS47DrQ/edit?usp=sharing"",""จัดที่ดิน!I54"")"),32)</f>
        <v>32</v>
      </c>
      <c r="K372" s="497">
        <f t="shared" ca="1" si="163"/>
        <v>15.609756097560975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IFERROR(__xludf.DUMMYFUNCTION("IMPORTRANGE(""https://docs.google.com/spreadsheets/d/1XWAQStnk-4SwqDmLtmXYiTMKHgktTP8We1SCoS47DrQ/edit?usp=sharing"",""จัดที่ดิน!J54"")"),249.32)</f>
        <v>249.32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101</v>
      </c>
      <c r="K374" s="491">
        <f t="shared" ca="1" si="163"/>
        <v>67.333333333333329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IFERROR(__xludf.DUMMYFUNCTION("IMPORTRANGE(""https://docs.google.com/spreadsheets/d/1XWAQStnk-4SwqDmLtmXYiTMKHgktTP8We1SCoS47DrQ/edit?usp=sharing"",""จัดที่ดิน!AH54"")"),94)</f>
        <v>94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IFERROR(__xludf.DUMMYFUNCTION("IMPORTRANGE(""https://docs.google.com/spreadsheets/d/1XWAQStnk-4SwqDmLtmXYiTMKHgktTP8We1SCoS47DrQ/edit?usp=sharing"",""จัดที่ดิน!AI54"")"),674.4)</f>
        <v>674.4</v>
      </c>
      <c r="K378" s="497">
        <f t="shared" ca="1" si="164"/>
        <v>67.44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IFERROR(__xludf.DUMMYFUNCTION("IMPORTRANGE(""https://docs.google.com/spreadsheets/d/1XWAQStnk-4SwqDmLtmXYiTMKHgktTP8We1SCoS47DrQ/edit?usp=sharing"",""จัดที่ดิน!AJ54"")"),101)</f>
        <v>101</v>
      </c>
      <c r="K379" s="497">
        <f t="shared" ca="1" si="164"/>
        <v>67.333333333333329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IFERROR(__xludf.DUMMYFUNCTION("IMPORTRANGE(""https://docs.google.com/spreadsheets/d/1XWAQStnk-4SwqDmLtmXYiTMKHgktTP8We1SCoS47DrQ/edit?usp=sharing"",""จัดที่ดิน!AK54"")"),1295.55)</f>
        <v>1295.55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IFERROR(__xludf.DUMMYFUNCTION("IMPORTRANGE(""https://docs.google.com/spreadsheets/d/1XWAQStnk-4SwqDmLtmXYiTMKHgktTP8We1SCoS47DrQ/edit?usp=sharing"",""จัดที่ดิน!AL54"")"),101)</f>
        <v>101</v>
      </c>
      <c r="K381" s="497">
        <f t="shared" ca="1" si="164"/>
        <v>67.333333333333329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IFERROR(__xludf.DUMMYFUNCTION("IMPORTRANGE(""https://docs.google.com/spreadsheets/d/1XWAQStnk-4SwqDmLtmXYiTMKHgktTP8We1SCoS47DrQ/edit?usp=sharing"",""จัดที่ดิน!AM54"")"),1295.55)</f>
        <v>1295.55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809833</v>
      </c>
      <c r="N414" s="549">
        <f t="shared" si="181"/>
        <v>255264</v>
      </c>
      <c r="O414" s="549">
        <f ca="1">IF(L414&gt;0,N414*100/L414,0)</f>
        <v>31.520572760062876</v>
      </c>
      <c r="P414" s="549">
        <f ca="1">IF(M414&gt;0,N414*100/M414,0)</f>
        <v>31.520572760062876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52710</v>
      </c>
      <c r="O419" s="155">
        <f t="shared" ref="O419:O424" ca="1" si="185">IF(L419&gt;0,N419*100/L419,0)</f>
        <v>67.009916094584284</v>
      </c>
      <c r="P419" s="155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52710</v>
      </c>
      <c r="O421" s="93">
        <f t="shared" ca="1" si="185"/>
        <v>67.009916094584284</v>
      </c>
      <c r="P421" s="93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52710</v>
      </c>
      <c r="O422" s="497">
        <f t="shared" ca="1" si="185"/>
        <v>67.009916094584284</v>
      </c>
      <c r="P422" s="497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</f>
        <v>78660</v>
      </c>
      <c r="N424" s="93">
        <f>N425+N426+N427+N428</f>
        <v>52710</v>
      </c>
      <c r="O424" s="93">
        <f t="shared" ca="1" si="185"/>
        <v>67.009916094584284</v>
      </c>
      <c r="P424" s="93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50610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83100</v>
      </c>
      <c r="O467" s="195">
        <f t="shared" ref="O467:O472" ca="1" si="207">IF(L467&gt;0,N467*100/L467,0)</f>
        <v>20.262708082894228</v>
      </c>
      <c r="P467" s="195">
        <f t="shared" ref="P467:P472" ca="1" si="208">IF(M467&gt;0,N467*100/M467,0)</f>
        <v>20.262708082894228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83100</v>
      </c>
      <c r="O469" s="93">
        <f t="shared" ca="1" si="207"/>
        <v>20.262708082894228</v>
      </c>
      <c r="P469" s="93">
        <f t="shared" ca="1" si="208"/>
        <v>20.262708082894228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83100</v>
      </c>
      <c r="O470" s="497">
        <f t="shared" ca="1" si="207"/>
        <v>20.262708082894228</v>
      </c>
      <c r="P470" s="497">
        <f t="shared" ca="1" si="208"/>
        <v>20.262708082894228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83100</v>
      </c>
      <c r="O472" s="93">
        <f t="shared" ca="1" si="207"/>
        <v>20.262708082894228</v>
      </c>
      <c r="P472" s="93">
        <f t="shared" ca="1" si="208"/>
        <v>20.262708082894228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58570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112600</v>
      </c>
      <c r="O544" s="155">
        <f t="shared" ref="O544:O549" ca="1" si="237">IF(L544&gt;0,N544*100/L544,0)</f>
        <v>39.60604994723883</v>
      </c>
      <c r="P544" s="155">
        <f t="shared" ref="P544:P549" ca="1" si="238">IF(M544&gt;0,N544*100/M544,0)</f>
        <v>39.60604994723883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112600</v>
      </c>
      <c r="O546" s="93">
        <f t="shared" ca="1" si="237"/>
        <v>39.60604994723883</v>
      </c>
      <c r="P546" s="93">
        <f t="shared" ca="1" si="238"/>
        <v>39.60604994723883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112600</v>
      </c>
      <c r="O547" s="497">
        <f t="shared" ca="1" si="237"/>
        <v>39.60604994723883</v>
      </c>
      <c r="P547" s="497">
        <f t="shared" ca="1" si="238"/>
        <v>39.60604994723883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112600</v>
      </c>
      <c r="O549" s="93">
        <f t="shared" ca="1" si="237"/>
        <v>39.60604994723883</v>
      </c>
      <c r="P549" s="93">
        <f t="shared" ca="1" si="238"/>
        <v>39.60604994723883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62830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6750+18800+24220</f>
        <v>49770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1078</v>
      </c>
      <c r="K592" s="672">
        <f t="shared" ref="K592:K594" ca="1" si="254">IF(I592&gt;0,J592*100/I592,0)</f>
        <v>34.854133189347181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1078</v>
      </c>
      <c r="K593" s="411">
        <f t="shared" ca="1" si="254"/>
        <v>34.854133189347181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84</v>
      </c>
      <c r="K594" s="411">
        <f t="shared" ca="1" si="254"/>
        <v>34.854771784232362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1010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79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1010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79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IFERROR(__xludf.DUMMYFUNCTION("IMPORTRANGE(""https://docs.google.com/spreadsheets/d/1XWAQStnk-4SwqDmLtmXYiTMKHgktTP8We1SCoS47DrQ/edit?usp=sharing"",""จัดที่ดิน!AV54"")"),1.05)</f>
        <v>1.05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2585</v>
      </c>
      <c r="O685" s="195">
        <f t="shared" ref="O685:O688" ca="1" si="283">IF(L685&gt;0,N685*100/L685,0)</f>
        <v>9.4480994152046787</v>
      </c>
      <c r="P685" s="195">
        <f t="shared" ref="P685:P688" ca="1" si="284">IF(M685&gt;0,N685*100/M685,0)</f>
        <v>9.4480994152046787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2585</v>
      </c>
      <c r="O687" s="93">
        <f t="shared" ca="1" si="283"/>
        <v>9.4480994152046787</v>
      </c>
      <c r="P687" s="93">
        <f t="shared" ca="1" si="284"/>
        <v>9.4480994152046787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2585</v>
      </c>
      <c r="O688" s="497">
        <f t="shared" ca="1" si="283"/>
        <v>9.4480994152046787</v>
      </c>
      <c r="P688" s="497">
        <f t="shared" ca="1" si="284"/>
        <v>9.4480994152046787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2585</v>
      </c>
      <c r="O690" s="93">
        <f ca="1">IF(L690&gt;0,N690*100/L690,0)</f>
        <v>9.4480994152046787</v>
      </c>
      <c r="P690" s="93">
        <f ca="1">IF(M690&gt;0,N690*100/M690,0)</f>
        <v>9.4480994152046787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2585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IFERROR(__xludf.DUMMYFUNCTION("IMPORTRANGE(""https://docs.google.com/spreadsheets/d/19vJNZY_5yjcGF2XGBMNZRCAIB0Kwfpjp8YEOfu-bneM/edit?usp=sharing"",""งานกองทุน!F54"")"),4080000)</f>
        <v>4080000</v>
      </c>
      <c r="K821" s="497">
        <f t="shared" ref="K821:K828" ca="1" si="335">IF(I821&gt;0,J821*100/I821,0)</f>
        <v>59.250653499854778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IFERROR(__xludf.DUMMYFUNCTION("IMPORTRANGE(""https://docs.google.com/spreadsheets/d/19vJNZY_5yjcGF2XGBMNZRCAIB0Kwfpjp8YEOfu-bneM/edit?usp=sharing"",""งานกองทุน!E54"")"),204)</f>
        <v>204</v>
      </c>
      <c r="K822" s="497">
        <f t="shared" ca="1" si="335"/>
        <v>59.130434782608695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IFERROR(__xludf.DUMMYFUNCTION("IMPORTRANGE(""https://docs.google.com/spreadsheets/d/19vJNZY_5yjcGF2XGBMNZRCAIB0Kwfpjp8YEOfu-bneM/edit?usp=sharing"",""งานกองทุน!K54"")"),898246.61)</f>
        <v>898246.61</v>
      </c>
      <c r="K823" s="497">
        <f t="shared" ca="1" si="335"/>
        <v>5.928604613937833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IFERROR(__xludf.DUMMYFUNCTION("IMPORTRANGE(""https://docs.google.com/spreadsheets/d/19vJNZY_5yjcGF2XGBMNZRCAIB0Kwfpjp8YEOfu-bneM/edit?usp=sharing"",""งานกองทุน!J54"")"),114)</f>
        <v>114</v>
      </c>
      <c r="K824" s="497">
        <f t="shared" ca="1" si="335"/>
        <v>33.043478260869563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IFERROR(__xludf.DUMMYFUNCTION("IMPORTRANGE(""https://docs.google.com/spreadsheets/d/19vJNZY_5yjcGF2XGBMNZRCAIB0Kwfpjp8YEOfu-bneM/edit?usp=sharing"",""งานกองทุน!P54"")"),26014.68)</f>
        <v>26014.68</v>
      </c>
      <c r="K825" s="497">
        <f t="shared" ca="1" si="335"/>
        <v>2.4615614619669173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IFERROR(__xludf.DUMMYFUNCTION("IMPORTRANGE(""https://docs.google.com/spreadsheets/d/19vJNZY_5yjcGF2XGBMNZRCAIB0Kwfpjp8YEOfu-bneM/edit?usp=sharing"",""งานกองทุน!O54"")"),13)</f>
        <v>13</v>
      </c>
      <c r="K826" s="497">
        <f t="shared" ca="1" si="335"/>
        <v>11.926605504587156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IFERROR(__xludf.DUMMYFUNCTION("IMPORTRANGE(""https://docs.google.com/spreadsheets/d/19vJNZY_5yjcGF2XGBMNZRCAIB0Kwfpjp8YEOfu-bneM/edit?usp=sharing"",""งานกองทุน!U54"")"),2500000)</f>
        <v>2500000</v>
      </c>
      <c r="K827" s="497">
        <f t="shared" ca="1" si="335"/>
        <v>18.011527377521613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IFERROR(__xludf.DUMMYFUNCTION("IMPORTRANGE(""https://docs.google.com/spreadsheets/d/19vJNZY_5yjcGF2XGBMNZRCAIB0Kwfpjp8YEOfu-bneM/edit?usp=sharing"",""งานกองทุน!T54"")"),125)</f>
        <v>125</v>
      </c>
      <c r="K828" s="502">
        <f t="shared" ca="1" si="335"/>
        <v>22.522522522522522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BF94B-6A00-464C-8A31-24F399BD15A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6682818</v>
      </c>
      <c r="N8" s="22">
        <f t="shared" ca="1" si="0"/>
        <v>5577440.9400000004</v>
      </c>
      <c r="O8" s="22">
        <f t="shared" ref="O8:O16" ca="1" si="1">IF(L8&gt;0,N8*100/L8,0)</f>
        <v>75.860812602698815</v>
      </c>
      <c r="P8" s="22">
        <f t="shared" ref="P8:P16" ca="1" si="2">IF(M8&gt;0,N8*100/M8,0)</f>
        <v>83.459416970505558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6682818</v>
      </c>
      <c r="N10" s="30">
        <f t="shared" ca="1" si="3"/>
        <v>5577440.9400000004</v>
      </c>
      <c r="O10" s="30">
        <f t="shared" ca="1" si="1"/>
        <v>75.860812602698815</v>
      </c>
      <c r="P10" s="30">
        <f t="shared" ca="1" si="2"/>
        <v>83.459416970505558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5256218</v>
      </c>
      <c r="N11" s="497">
        <f t="shared" ca="1" si="4"/>
        <v>4150840.9400000004</v>
      </c>
      <c r="O11" s="497">
        <f t="shared" ca="1" si="1"/>
        <v>70.850353574051709</v>
      </c>
      <c r="P11" s="497">
        <f t="shared" ca="1" si="2"/>
        <v>78.970106262715902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5256218</v>
      </c>
      <c r="N13" s="93">
        <f t="shared" ca="1" si="5"/>
        <v>4150840.9400000004</v>
      </c>
      <c r="O13" s="93">
        <f t="shared" ca="1" si="1"/>
        <v>70.850353574051709</v>
      </c>
      <c r="P13" s="93">
        <f t="shared" ca="1" si="2"/>
        <v>78.970106262715902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4744120</v>
      </c>
      <c r="N18" s="22">
        <f t="shared" ca="1" si="8"/>
        <v>4278237.8600000003</v>
      </c>
      <c r="O18" s="22">
        <f t="shared" ref="O18:O26" ca="1" si="9">IF(L18&gt;0,N18*100/L18,0)</f>
        <v>79.028981408532928</v>
      </c>
      <c r="P18" s="22">
        <f t="shared" ref="P18:P26" ca="1" si="10">IF(M18&gt;0,N18*100/M18,0)</f>
        <v>90.179798571705618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4744120</v>
      </c>
      <c r="N20" s="30">
        <f t="shared" ca="1" si="11"/>
        <v>4278237.8600000003</v>
      </c>
      <c r="O20" s="30">
        <f t="shared" ca="1" si="9"/>
        <v>79.028981408532928</v>
      </c>
      <c r="P20" s="30">
        <f t="shared" ca="1" si="10"/>
        <v>90.179798571705618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3317520</v>
      </c>
      <c r="N21" s="497">
        <f t="shared" ca="1" si="12"/>
        <v>2851637.8600000003</v>
      </c>
      <c r="O21" s="497">
        <f t="shared" ca="1" si="9"/>
        <v>72.747626791975847</v>
      </c>
      <c r="P21" s="497">
        <f t="shared" ca="1" si="10"/>
        <v>85.956915406689347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3317520</v>
      </c>
      <c r="N23" s="93">
        <f t="shared" ca="1" si="13"/>
        <v>2851637.8600000003</v>
      </c>
      <c r="O23" s="93">
        <f t="shared" ca="1" si="9"/>
        <v>72.747626791975847</v>
      </c>
      <c r="P23" s="93">
        <f t="shared" ca="1" si="10"/>
        <v>85.956915406689347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1299203.0799999998</v>
      </c>
      <c r="O28" s="22">
        <f t="shared" ref="O28:O37" ca="1" si="17">IF(L28&gt;0,N28*100/L28,0)</f>
        <v>67.014206441642784</v>
      </c>
      <c r="P28" s="22">
        <f t="shared" ref="P28:P37" ca="1" si="18">IF(M28&gt;0,N28*100/M28,0)</f>
        <v>67.014206441642784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1299203.0799999998</v>
      </c>
      <c r="O30" s="30">
        <f t="shared" ca="1" si="17"/>
        <v>67.014206441642784</v>
      </c>
      <c r="P30" s="30">
        <f t="shared" ca="1" si="18"/>
        <v>67.014206441642784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1938698</v>
      </c>
      <c r="N31" s="497">
        <f t="shared" si="20"/>
        <v>1299203.0799999998</v>
      </c>
      <c r="O31" s="497">
        <f t="shared" ca="1" si="17"/>
        <v>67.014206441642784</v>
      </c>
      <c r="P31" s="497">
        <f t="shared" ca="1" si="18"/>
        <v>67.014206441642784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1938698</v>
      </c>
      <c r="N33" s="93">
        <f t="shared" si="21"/>
        <v>1299203.0799999998</v>
      </c>
      <c r="O33" s="93">
        <f t="shared" ca="1" si="17"/>
        <v>67.014206441642784</v>
      </c>
      <c r="P33" s="93">
        <f t="shared" ca="1" si="18"/>
        <v>67.014206441642784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4744120</v>
      </c>
      <c r="N37" s="59">
        <f t="shared" ca="1" si="24"/>
        <v>4278237.8600000003</v>
      </c>
      <c r="O37" s="59">
        <f t="shared" ca="1" si="17"/>
        <v>79.028981408532928</v>
      </c>
      <c r="P37" s="59">
        <f t="shared" ca="1" si="18"/>
        <v>90.179798571705618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561650</v>
      </c>
      <c r="N41" s="85">
        <f t="shared" ca="1" si="25"/>
        <v>492358</v>
      </c>
      <c r="O41" s="85">
        <f t="shared" ref="O41:O49" ca="1" si="26">IF(L41&gt;0,N41*100/L41,0)</f>
        <v>91.729482999534227</v>
      </c>
      <c r="P41" s="85">
        <f t="shared" ref="P41:P49" ca="1" si="27">IF(M41&gt;0,N41*100/M41,0)</f>
        <v>87.662779310958783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561650</v>
      </c>
      <c r="N43" s="92">
        <f t="shared" ca="1" si="28"/>
        <v>492358</v>
      </c>
      <c r="O43" s="92">
        <f t="shared" ca="1" si="26"/>
        <v>91.729482999534227</v>
      </c>
      <c r="P43" s="92">
        <f t="shared" ca="1" si="27"/>
        <v>87.662779310958783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561650</v>
      </c>
      <c r="N44" s="497">
        <f t="shared" ca="1" si="29"/>
        <v>492358</v>
      </c>
      <c r="O44" s="497">
        <f t="shared" ca="1" si="26"/>
        <v>91.729482999534227</v>
      </c>
      <c r="P44" s="497">
        <f t="shared" ca="1" si="27"/>
        <v>87.662779310958783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IFERROR(__xludf.DUMMYFUNCTION("IMPORTRANGE(""https://docs.google.com/spreadsheets/d/1MeEWN-I1oV_STSDYn1IFDPWt_1FKiwhDph83XaGc0o0/edit?usp=sharing"",""งบพรบ!R55"")"),561650)</f>
        <v>561650</v>
      </c>
      <c r="N46" s="93">
        <f ca="1">IFERROR(__xludf.DUMMYFUNCTION("IMPORTRANGE(""https://docs.google.com/spreadsheets/d/1MeEWN-I1oV_STSDYn1IFDPWt_1FKiwhDph83XaGc0o0/edit?usp=sharing"",""งบพรบ!T55"")"),492358)</f>
        <v>492358</v>
      </c>
      <c r="O46" s="93">
        <f t="shared" ca="1" si="26"/>
        <v>91.729482999534227</v>
      </c>
      <c r="P46" s="93">
        <f t="shared" ca="1" si="27"/>
        <v>87.662779310958783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886025</v>
      </c>
      <c r="N53" s="116">
        <f t="shared" ca="1" si="31"/>
        <v>844501.52</v>
      </c>
      <c r="O53" s="116">
        <f t="shared" ref="O53:O61" ca="1" si="32">IF(L53&gt;0,N53*100/L53,0)</f>
        <v>75.570605816554803</v>
      </c>
      <c r="P53" s="116">
        <f t="shared" ref="P53:P61" ca="1" si="33">IF(M53&gt;0,N53*100/M53,0)</f>
        <v>95.313509212493997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886025</v>
      </c>
      <c r="N55" s="123">
        <f t="shared" ca="1" si="34"/>
        <v>844501.52</v>
      </c>
      <c r="O55" s="123">
        <f t="shared" ca="1" si="32"/>
        <v>75.570605816554803</v>
      </c>
      <c r="P55" s="123">
        <f t="shared" ca="1" si="33"/>
        <v>95.313509212493997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697225</v>
      </c>
      <c r="N56" s="497">
        <f t="shared" ca="1" si="35"/>
        <v>655701.52</v>
      </c>
      <c r="O56" s="497">
        <f t="shared" ca="1" si="32"/>
        <v>70.604233875309575</v>
      </c>
      <c r="P56" s="497">
        <f t="shared" ca="1" si="33"/>
        <v>94.044464842769557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IFERROR(__xludf.DUMMYFUNCTION("IMPORTRANGE(""https://docs.google.com/spreadsheets/d/1MeEWN-I1oV_STSDYn1IFDPWt_1FKiwhDph83XaGc0o0/edit?usp=sharing"",""งบพรบ!AB55"")"),697225)</f>
        <v>697225</v>
      </c>
      <c r="N58" s="93">
        <f ca="1">IFERROR(__xludf.DUMMYFUNCTION("IMPORTRANGE(""https://docs.google.com/spreadsheets/d/1MeEWN-I1oV_STSDYn1IFDPWt_1FKiwhDph83XaGc0o0/edit?usp=sharing"",""งบพรบ!AD55"")"),655701.52)</f>
        <v>655701.52</v>
      </c>
      <c r="O58" s="93">
        <f t="shared" ca="1" si="32"/>
        <v>70.604233875309575</v>
      </c>
      <c r="P58" s="93">
        <f t="shared" ca="1" si="33"/>
        <v>94.044464842769557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49830</v>
      </c>
      <c r="O88" s="155">
        <f t="shared" ref="O88:O96" ca="1" si="50">IF(L88&gt;0,N88*100/L88,0)</f>
        <v>58.049860205032616</v>
      </c>
      <c r="P88" s="155">
        <f t="shared" ref="P88:P96" ca="1" si="51">IF(M88&gt;0,N88*100/M88,0)</f>
        <v>96.964389959136014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49830</v>
      </c>
      <c r="O90" s="93">
        <f t="shared" ca="1" si="50"/>
        <v>58.049860205032616</v>
      </c>
      <c r="P90" s="93">
        <f t="shared" ca="1" si="51"/>
        <v>96.964389959136014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49830</v>
      </c>
      <c r="O91" s="497">
        <f t="shared" ca="1" si="50"/>
        <v>58.049860205032616</v>
      </c>
      <c r="P91" s="497">
        <f t="shared" ca="1" si="51"/>
        <v>96.964389959136014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IFERROR(__xludf.DUMMYFUNCTION("IMPORTRANGE(""https://docs.google.com/spreadsheets/d/1MeEWN-I1oV_STSDYn1IFDPWt_1FKiwhDph83XaGc0o0/edit?usp=sharing"",""งบพรบ!AV55"")"),51390)</f>
        <v>51390</v>
      </c>
      <c r="N93" s="93">
        <f ca="1">IFERROR(__xludf.DUMMYFUNCTION("IMPORTRANGE(""https://docs.google.com/spreadsheets/d/1MeEWN-I1oV_STSDYn1IFDPWt_1FKiwhDph83XaGc0o0/edit?usp=sharing"",""งบพรบ!AX55"")"),49830)</f>
        <v>49830</v>
      </c>
      <c r="O93" s="93">
        <f t="shared" ca="1" si="50"/>
        <v>58.049860205032616</v>
      </c>
      <c r="P93" s="93">
        <f t="shared" ca="1" si="51"/>
        <v>96.964389959136014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146330</v>
      </c>
      <c r="O132" s="155">
        <f t="shared" ref="O132:O140" ca="1" si="70">IF(L132&gt;0,N132*100/L132,0)</f>
        <v>96.488740892156542</v>
      </c>
      <c r="P132" s="155">
        <f t="shared" ref="P132:P140" ca="1" si="71">IF(M132&gt;0,N132*100/M132,0)</f>
        <v>99.611980939414565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146330</v>
      </c>
      <c r="O134" s="93">
        <f t="shared" ca="1" si="70"/>
        <v>96.488740892156542</v>
      </c>
      <c r="P134" s="93">
        <f t="shared" ca="1" si="71"/>
        <v>99.611980939414565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43330</v>
      </c>
      <c r="O135" s="497">
        <f t="shared" ca="1" si="70"/>
        <v>89.05559551947384</v>
      </c>
      <c r="P135" s="497">
        <f t="shared" ca="1" si="71"/>
        <v>98.701594533029606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IFERROR(__xludf.DUMMYFUNCTION("IMPORTRANGE(""https://docs.google.com/spreadsheets/d/1MeEWN-I1oV_STSDYn1IFDPWt_1FKiwhDph83XaGc0o0/edit?usp=sharing"",""งบพรบ!BP55"")"),43900)</f>
        <v>43900</v>
      </c>
      <c r="N137" s="93">
        <f ca="1">IFERROR(__xludf.DUMMYFUNCTION("IMPORTRANGE(""https://docs.google.com/spreadsheets/d/1MeEWN-I1oV_STSDYn1IFDPWt_1FKiwhDph83XaGc0o0/edit?usp=sharing"",""งบพรบ!BR55"")"),43330)</f>
        <v>43330</v>
      </c>
      <c r="O137" s="93">
        <f t="shared" ca="1" si="70"/>
        <v>89.05559551947384</v>
      </c>
      <c r="P137" s="93">
        <f t="shared" ca="1" si="71"/>
        <v>98.701594533029606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36100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36100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36100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IFERROR(__xludf.DUMMYFUNCTION("IMPORTRANGE(""https://docs.google.com/spreadsheets/d/1MeEWN-I1oV_STSDYn1IFDPWt_1FKiwhDph83XaGc0o0/edit?usp=sharing"",""งบพรบ!CJ55"")"),36100)</f>
        <v>36100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562075</v>
      </c>
      <c r="N181" s="155">
        <f t="shared" ca="1" si="92"/>
        <v>484288.45</v>
      </c>
      <c r="O181" s="155">
        <f t="shared" ref="O181:O189" ca="1" si="93">IF(L181&gt;0,N181*100/L181,0)</f>
        <v>76.422352848350954</v>
      </c>
      <c r="P181" s="155">
        <f t="shared" ref="P181:P189" ca="1" si="94">IF(M181&gt;0,N181*100/M181,0)</f>
        <v>86.160823733487518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562075</v>
      </c>
      <c r="N183" s="93">
        <f t="shared" ca="1" si="95"/>
        <v>484288.45</v>
      </c>
      <c r="O183" s="93">
        <f t="shared" ca="1" si="93"/>
        <v>76.422352848350954</v>
      </c>
      <c r="P183" s="93">
        <f t="shared" ca="1" si="94"/>
        <v>86.160823733487518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562075</v>
      </c>
      <c r="N184" s="497">
        <f t="shared" ca="1" si="96"/>
        <v>484288.45</v>
      </c>
      <c r="O184" s="497">
        <f t="shared" ca="1" si="93"/>
        <v>76.422352848350954</v>
      </c>
      <c r="P184" s="497">
        <f t="shared" ca="1" si="94"/>
        <v>86.160823733487518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IFERROR(__xludf.DUMMYFUNCTION("IMPORTRANGE(""https://docs.google.com/spreadsheets/d/1MeEWN-I1oV_STSDYn1IFDPWt_1FKiwhDph83XaGc0o0/edit?usp=sharing"",""งบพรบ!CT55"")"),562075)</f>
        <v>562075</v>
      </c>
      <c r="N186" s="93">
        <f ca="1">IFERROR(__xludf.DUMMYFUNCTION("IMPORTRANGE(""https://docs.google.com/spreadsheets/d/1MeEWN-I1oV_STSDYn1IFDPWt_1FKiwhDph83XaGc0o0/edit?usp=sharing"",""งบพรบ!CV55"")"),484288.45)</f>
        <v>484288.45</v>
      </c>
      <c r="O186" s="93">
        <f t="shared" ca="1" si="93"/>
        <v>76.422352848350954</v>
      </c>
      <c r="P186" s="93">
        <f t="shared" ca="1" si="94"/>
        <v>86.160823733487518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2960</v>
      </c>
      <c r="O191" s="155">
        <f ca="1">IF(L191&gt;0,N191*100/L191,0)</f>
        <v>49.333333333333336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10000</v>
      </c>
      <c r="O217" s="155">
        <f ca="1">IF(L217&gt;0,N217*100/L217,0)</f>
        <v>40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247613.39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95473.39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82140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60000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30</v>
      </c>
      <c r="K235" s="93">
        <f t="shared" ref="K235:K237" si="110">IF(I235&gt;0,J235*100/I235,0)</f>
        <v>50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1</v>
      </c>
      <c r="K236" s="93">
        <f t="shared" si="110"/>
        <v>50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119513.39</v>
      </c>
      <c r="O238" s="155">
        <f ca="1">IF(L238&gt;0,N238*100/L238,0)</f>
        <v>49.818003334722803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72">
        <v>70633.39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72">
        <v>48880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337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72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72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72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30</v>
      </c>
      <c r="K257" s="497">
        <f t="shared" ref="K257:K258" si="114">IF(I257&gt;0,J257*100/I257,0)</f>
        <v>100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18940</v>
      </c>
      <c r="O261" s="155">
        <f t="shared" ref="O261:O269" ca="1" si="117">IF(L261&gt;0,N261*100/L261,0)</f>
        <v>70.408921933085509</v>
      </c>
      <c r="P261" s="155">
        <f t="shared" ref="P261:P269" ca="1" si="118">IF(M261&gt;0,N261*100/M261,0)</f>
        <v>79.246861924686186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18940</v>
      </c>
      <c r="O263" s="93">
        <f t="shared" ca="1" si="117"/>
        <v>70.408921933085509</v>
      </c>
      <c r="P263" s="93">
        <f t="shared" ca="1" si="118"/>
        <v>79.246861924686186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18940</v>
      </c>
      <c r="O264" s="497">
        <f t="shared" ca="1" si="117"/>
        <v>70.408921933085509</v>
      </c>
      <c r="P264" s="497">
        <f t="shared" ca="1" si="118"/>
        <v>79.246861924686186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IFERROR(__xludf.DUMMYFUNCTION("IMPORTRANGE(""https://docs.google.com/spreadsheets/d/1MeEWN-I1oV_STSDYn1IFDPWt_1FKiwhDph83XaGc0o0/edit?usp=sharing"",""งบพรบ!DD55"")"),23900)</f>
        <v>23900</v>
      </c>
      <c r="N266" s="93">
        <f ca="1">IFERROR(__xludf.DUMMYFUNCTION("IMPORTRANGE(""https://docs.google.com/spreadsheets/d/1MeEWN-I1oV_STSDYn1IFDPWt_1FKiwhDph83XaGc0o0/edit?usp=sharing"",""งบพรบ!DF55"")"),18940)</f>
        <v>18940</v>
      </c>
      <c r="O266" s="93">
        <f t="shared" ca="1" si="117"/>
        <v>70.408921933085509</v>
      </c>
      <c r="P266" s="93">
        <f t="shared" ca="1" si="118"/>
        <v>79.246861924686186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21945</v>
      </c>
      <c r="O277" s="155">
        <f t="shared" ref="O277:O285" ca="1" si="126">IF(L277&gt;0,N277*100/L277,0)</f>
        <v>96.97304463102077</v>
      </c>
      <c r="P277" s="155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21945</v>
      </c>
      <c r="O279" s="93">
        <f t="shared" ca="1" si="126"/>
        <v>96.97304463102077</v>
      </c>
      <c r="P279" s="93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21945</v>
      </c>
      <c r="O280" s="497">
        <f t="shared" ca="1" si="126"/>
        <v>96.97304463102077</v>
      </c>
      <c r="P280" s="497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IFERROR(__xludf.DUMMYFUNCTION("IMPORTRANGE(""https://docs.google.com/spreadsheets/d/1MeEWN-I1oV_STSDYn1IFDPWt_1FKiwhDph83XaGc0o0/edit?usp=sharing"",""งบพรบ!DP55"")"),21945)</f>
        <v>21945</v>
      </c>
      <c r="O282" s="93">
        <f t="shared" ca="1" si="126"/>
        <v>96.97304463102077</v>
      </c>
      <c r="P282" s="93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186400</v>
      </c>
      <c r="N298" s="155">
        <f t="shared" ca="1" si="135"/>
        <v>166010.07999999999</v>
      </c>
      <c r="O298" s="155">
        <f t="shared" ref="O298:O306" ca="1" si="136">IF(L298&gt;0,N298*100/L298,0)</f>
        <v>73.651322094055004</v>
      </c>
      <c r="P298" s="155">
        <f t="shared" ref="P298:P306" ca="1" si="137">IF(M298&gt;0,N298*100/M298,0)</f>
        <v>89.061201716738182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186400</v>
      </c>
      <c r="N300" s="93">
        <f t="shared" ca="1" si="138"/>
        <v>166010.07999999999</v>
      </c>
      <c r="O300" s="93">
        <f t="shared" ca="1" si="136"/>
        <v>73.651322094055004</v>
      </c>
      <c r="P300" s="93">
        <f t="shared" ca="1" si="137"/>
        <v>89.061201716738182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186400</v>
      </c>
      <c r="N301" s="497">
        <f t="shared" ca="1" si="139"/>
        <v>166010.07999999999</v>
      </c>
      <c r="O301" s="497">
        <f t="shared" ca="1" si="136"/>
        <v>73.651322094055004</v>
      </c>
      <c r="P301" s="497">
        <f t="shared" ca="1" si="137"/>
        <v>89.061201716738182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IFERROR(__xludf.DUMMYFUNCTION("IMPORTRANGE(""https://docs.google.com/spreadsheets/d/1MeEWN-I1oV_STSDYn1IFDPWt_1FKiwhDph83XaGc0o0/edit?usp=sharing"",""งบพรบ!DX55"")"),186400)</f>
        <v>186400</v>
      </c>
      <c r="N303" s="93">
        <f ca="1">IFERROR(__xludf.DUMMYFUNCTION("IMPORTRANGE(""https://docs.google.com/spreadsheets/d/1MeEWN-I1oV_STSDYn1IFDPWt_1FKiwhDph83XaGc0o0/edit?usp=sharing"",""งบพรบ!DZ55"")"),166010.08)</f>
        <v>166010.07999999999</v>
      </c>
      <c r="O303" s="93">
        <f t="shared" ca="1" si="136"/>
        <v>73.651322094055004</v>
      </c>
      <c r="P303" s="93">
        <f t="shared" ca="1" si="137"/>
        <v>89.061201716738182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6608</v>
      </c>
      <c r="K327" s="445">
        <f ca="1">IF(I327&gt;0,J327*100/I327,0)</f>
        <v>153.67441860465115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1030250</v>
      </c>
      <c r="N328" s="155">
        <f t="shared" ca="1" si="149"/>
        <v>1009573.3200000001</v>
      </c>
      <c r="O328" s="155">
        <f t="shared" ref="O328:O336" ca="1" si="150">IF(L328&gt;0,N328*100/L328,0)</f>
        <v>88.636814749780513</v>
      </c>
      <c r="P328" s="155">
        <f t="shared" ref="P328:P336" ca="1" si="151">IF(M328&gt;0,N328*100/M328,0)</f>
        <v>97.993042465421013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1030250</v>
      </c>
      <c r="N330" s="93">
        <f t="shared" ca="1" si="152"/>
        <v>1009573.3200000001</v>
      </c>
      <c r="O330" s="93">
        <f t="shared" ca="1" si="150"/>
        <v>88.636814749780513</v>
      </c>
      <c r="P330" s="93">
        <f t="shared" ca="1" si="151"/>
        <v>97.993042465421013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114573.32</v>
      </c>
      <c r="O331" s="497">
        <f t="shared" ca="1" si="150"/>
        <v>64.730689265536725</v>
      </c>
      <c r="P331" s="497">
        <f t="shared" ca="1" si="151"/>
        <v>84.712251386321626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IFERROR(__xludf.DUMMYFUNCTION("IMPORTRANGE(""https://docs.google.com/spreadsheets/d/1MeEWN-I1oV_STSDYn1IFDPWt_1FKiwhDph83XaGc0o0/edit?usp=sharing"",""งบพรบ!ER55"")"),135250)</f>
        <v>135250</v>
      </c>
      <c r="N333" s="93">
        <f ca="1">IFERROR(__xludf.DUMMYFUNCTION("IMPORTRANGE(""https://docs.google.com/spreadsheets/d/1MeEWN-I1oV_STSDYn1IFDPWt_1FKiwhDph83XaGc0o0/edit?usp=sharing"",""งบพรบ!ET55"")"),114573.32)</f>
        <v>114573.32</v>
      </c>
      <c r="O333" s="93">
        <f t="shared" ca="1" si="150"/>
        <v>64.730689265536725</v>
      </c>
      <c r="P333" s="93">
        <f t="shared" ca="1" si="151"/>
        <v>84.712251386321626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IFERROR(__xludf.DUMMYFUNCTION("IMPORTRANGE(""https://docs.google.com/spreadsheets/d/1kVcqe37tkHyjCSG3S0O1AXqVkqjo8mSIZil3BcpIysc/edit?usp=sharing"",""ศูนย์!D55"")"),5662)</f>
        <v>5662</v>
      </c>
      <c r="K338" s="497">
        <f ca="1">IF(I338&gt;0,J338*100/I338,0)</f>
        <v>131.67441860465115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1225760</v>
      </c>
      <c r="N345" s="155">
        <f t="shared" ca="1" si="155"/>
        <v>997321.49</v>
      </c>
      <c r="O345" s="155">
        <f t="shared" ref="O345:O353" ca="1" si="156">IF(L345&gt;0,N345*100/L345,0)</f>
        <v>69.207012150693586</v>
      </c>
      <c r="P345" s="155">
        <f t="shared" ref="P345:P353" ca="1" si="157">IF(M345&gt;0,N345*100/M345,0)</f>
        <v>81.363520591306624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1225760</v>
      </c>
      <c r="N347" s="93">
        <f t="shared" ca="1" si="158"/>
        <v>997321.49</v>
      </c>
      <c r="O347" s="93">
        <f t="shared" ca="1" si="156"/>
        <v>69.207012150693586</v>
      </c>
      <c r="P347" s="93">
        <f t="shared" ca="1" si="157"/>
        <v>81.363520591306624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985960</v>
      </c>
      <c r="N348" s="497">
        <f t="shared" ca="1" si="159"/>
        <v>757521.49</v>
      </c>
      <c r="O348" s="497">
        <f t="shared" ca="1" si="156"/>
        <v>63.060052278005777</v>
      </c>
      <c r="P348" s="497">
        <f t="shared" ca="1" si="157"/>
        <v>76.830854192867861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IFERROR(__xludf.DUMMYFUNCTION("IMPORTRANGE(""https://docs.google.com/spreadsheets/d/1MeEWN-I1oV_STSDYn1IFDPWt_1FKiwhDph83XaGc0o0/edit?usp=sharing"",""งบพรบ!FB55"")"),985960)</f>
        <v>985960</v>
      </c>
      <c r="N350" s="93">
        <f ca="1">IFERROR(__xludf.DUMMYFUNCTION("IMPORTRANGE(""https://docs.google.com/spreadsheets/d/1MeEWN-I1oV_STSDYn1IFDPWt_1FKiwhDph83XaGc0o0/edit?usp=sharing"",""งบพรบ!FD55"")"),757521.49)</f>
        <v>757521.49</v>
      </c>
      <c r="O350" s="93">
        <f t="shared" ca="1" si="156"/>
        <v>63.060052278005777</v>
      </c>
      <c r="P350" s="93">
        <f t="shared" ca="1" si="157"/>
        <v>76.830854192867861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198</v>
      </c>
      <c r="K355" s="465">
        <f ca="1">IF(I355&gt;0,J355*100/I355,0)</f>
        <v>36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IFERROR(__xludf.DUMMYFUNCTION("IMPORTRANGE(""https://docs.google.com/spreadsheets/d/1XWAQStnk-4SwqDmLtmXYiTMKHgktTP8We1SCoS47DrQ/edit?usp=sharing"",""จัดที่ดิน!W55"")"),378)</f>
        <v>378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IFERROR(__xludf.DUMMYFUNCTION("IMPORTRANGE(""https://docs.google.com/spreadsheets/d/1XWAQStnk-4SwqDmLtmXYiTMKHgktTP8We1SCoS47DrQ/edit?usp=sharing"",""จัดที่ดิน!X55"")"),5094.26)</f>
        <v>5094.26</v>
      </c>
      <c r="K359" s="497">
        <f t="shared" ca="1" si="161"/>
        <v>92.62290909090909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IFERROR(__xludf.DUMMYFUNCTION("IMPORTRANGE(""https://docs.google.com/spreadsheets/d/1XWAQStnk-4SwqDmLtmXYiTMKHgktTP8We1SCoS47DrQ/edit?usp=sharing"",""จัดที่ดิน!Y55"")"),266)</f>
        <v>266</v>
      </c>
      <c r="K360" s="497">
        <f t="shared" ca="1" si="161"/>
        <v>48.363636363636367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IFERROR(__xludf.DUMMYFUNCTION("IMPORTRANGE(""https://docs.google.com/spreadsheets/d/1XWAQStnk-4SwqDmLtmXYiTMKHgktTP8We1SCoS47DrQ/edit?usp=sharing"",""จัดที่ดิน!Z55"")"),3604.68)</f>
        <v>3604.68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IFERROR(__xludf.DUMMYFUNCTION("IMPORTRANGE(""https://docs.google.com/spreadsheets/d/1XWAQStnk-4SwqDmLtmXYiTMKHgktTP8We1SCoS47DrQ/edit?usp=sharing"",""จัดที่ดิน!AA55"")"),198)</f>
        <v>198</v>
      </c>
      <c r="K362" s="497">
        <f t="shared" ca="1" si="161"/>
        <v>36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IFERROR(__xludf.DUMMYFUNCTION("IMPORTRANGE(""https://docs.google.com/spreadsheets/d/1XWAQStnk-4SwqDmLtmXYiTMKHgktTP8We1SCoS47DrQ/edit?usp=sharing"",""จัดที่ดิน!AB55"")"),2485.46)</f>
        <v>2485.46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414</v>
      </c>
      <c r="K364" s="479">
        <f t="shared" ca="1" si="161"/>
        <v>43.578947368421055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97</v>
      </c>
      <c r="K365" s="491">
        <f t="shared" ca="1" si="161"/>
        <v>48.5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IFERROR(__xludf.DUMMYFUNCTION("IMPORTRANGE(""https://docs.google.com/spreadsheets/d/1XWAQStnk-4SwqDmLtmXYiTMKHgktTP8We1SCoS47DrQ/edit?usp=sharing"",""จัดที่ดิน!E55"")"),225)</f>
        <v>225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IFERROR(__xludf.DUMMYFUNCTION("IMPORTRANGE(""https://docs.google.com/spreadsheets/d/1XWAQStnk-4SwqDmLtmXYiTMKHgktTP8We1SCoS47DrQ/edit?usp=sharing"",""จัดที่ดิน!F55"")"),3490.57)</f>
        <v>3490.57</v>
      </c>
      <c r="K369" s="497">
        <f t="shared" ca="1" si="163"/>
        <v>174.52850000000001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IFERROR(__xludf.DUMMYFUNCTION("IMPORTRANGE(""https://docs.google.com/spreadsheets/d/1XWAQStnk-4SwqDmLtmXYiTMKHgktTP8We1SCoS47DrQ/edit?usp=sharing"",""จัดที่ดิน!G55"")"),156)</f>
        <v>156</v>
      </c>
      <c r="K370" s="497">
        <f t="shared" ca="1" si="163"/>
        <v>78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IFERROR(__xludf.DUMMYFUNCTION("IMPORTRANGE(""https://docs.google.com/spreadsheets/d/1XWAQStnk-4SwqDmLtmXYiTMKHgktTP8We1SCoS47DrQ/edit?usp=sharing"",""จัดที่ดิน!H55"")"),2460.2)</f>
        <v>2460.1999999999998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IFERROR(__xludf.DUMMYFUNCTION("IMPORTRANGE(""https://docs.google.com/spreadsheets/d/1XWAQStnk-4SwqDmLtmXYiTMKHgktTP8We1SCoS47DrQ/edit?usp=sharing"",""จัดที่ดิน!I55"")"),97)</f>
        <v>97</v>
      </c>
      <c r="K372" s="497">
        <f t="shared" ca="1" si="163"/>
        <v>48.5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IFERROR(__xludf.DUMMYFUNCTION("IMPORTRANGE(""https://docs.google.com/spreadsheets/d/1XWAQStnk-4SwqDmLtmXYiTMKHgktTP8We1SCoS47DrQ/edit?usp=sharing"",""จัดที่ดิน!J55"")"),1361.69)</f>
        <v>1361.69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317</v>
      </c>
      <c r="K374" s="491">
        <f t="shared" ca="1" si="163"/>
        <v>42.266666666666666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IFERROR(__xludf.DUMMYFUNCTION("IMPORTRANGE(""https://docs.google.com/spreadsheets/d/1XWAQStnk-4SwqDmLtmXYiTMKHgktTP8We1SCoS47DrQ/edit?usp=sharing"",""จัดที่ดิน!AH55"")"),153)</f>
        <v>153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IFERROR(__xludf.DUMMYFUNCTION("IMPORTRANGE(""https://docs.google.com/spreadsheets/d/1XWAQStnk-4SwqDmLtmXYiTMKHgktTP8We1SCoS47DrQ/edit?usp=sharing"",""จัดที่ดิน!AI55"")"),1603.69)</f>
        <v>1603.69</v>
      </c>
      <c r="K378" s="497">
        <f t="shared" ca="1" si="164"/>
        <v>45.819714285714284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IFERROR(__xludf.DUMMYFUNCTION("IMPORTRANGE(""https://docs.google.com/spreadsheets/d/1XWAQStnk-4SwqDmLtmXYiTMKHgktTP8We1SCoS47DrQ/edit?usp=sharing"",""จัดที่ดิน!AJ55"")"),326)</f>
        <v>326</v>
      </c>
      <c r="K379" s="497">
        <f t="shared" ca="1" si="164"/>
        <v>43.466666666666669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IFERROR(__xludf.DUMMYFUNCTION("IMPORTRANGE(""https://docs.google.com/spreadsheets/d/1XWAQStnk-4SwqDmLtmXYiTMKHgktTP8We1SCoS47DrQ/edit?usp=sharing"",""จัดที่ดิน!AK55"")"),4825.93)</f>
        <v>4825.93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IFERROR(__xludf.DUMMYFUNCTION("IMPORTRANGE(""https://docs.google.com/spreadsheets/d/1XWAQStnk-4SwqDmLtmXYiTMKHgktTP8We1SCoS47DrQ/edit?usp=sharing"",""จัดที่ดิน!AL55"")"),317)</f>
        <v>317</v>
      </c>
      <c r="K381" s="497">
        <f t="shared" ca="1" si="164"/>
        <v>42.266666666666666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IFERROR(__xludf.DUMMYFUNCTION("IMPORTRANGE(""https://docs.google.com/spreadsheets/d/1XWAQStnk-4SwqDmLtmXYiTMKHgktTP8We1SCoS47DrQ/edit?usp=sharing"",""จัดที่ดิน!AM55"")"),4805.21999999999)</f>
        <v>4805.2199999999903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1938698</v>
      </c>
      <c r="N414" s="549">
        <f t="shared" si="181"/>
        <v>1299203.0799999998</v>
      </c>
      <c r="O414" s="549">
        <f ca="1">IF(L414&gt;0,N414*100/L414,0)</f>
        <v>67.014206441642784</v>
      </c>
      <c r="P414" s="549">
        <f ca="1">IF(M414&gt;0,N414*100/M414,0)</f>
        <v>67.014206441642784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133680</v>
      </c>
      <c r="N419" s="155">
        <f t="shared" si="184"/>
        <v>125030.1</v>
      </c>
      <c r="O419" s="155">
        <f t="shared" ref="O419:O424" ca="1" si="185">IF(L419&gt;0,N419*100/L419,0)</f>
        <v>93.52939856373429</v>
      </c>
      <c r="P419" s="155">
        <f t="shared" ref="P419:P424" ca="1" si="186">IF(M419&gt;0,N419*100/M419,0)</f>
        <v>93.52939856373429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133680</v>
      </c>
      <c r="N421" s="93">
        <f t="shared" si="187"/>
        <v>125030.1</v>
      </c>
      <c r="O421" s="93">
        <f t="shared" ca="1" si="185"/>
        <v>93.52939856373429</v>
      </c>
      <c r="P421" s="93">
        <f t="shared" ca="1" si="186"/>
        <v>93.52939856373429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133680</v>
      </c>
      <c r="N422" s="497">
        <f t="shared" si="188"/>
        <v>125030.1</v>
      </c>
      <c r="O422" s="497">
        <f t="shared" ca="1" si="185"/>
        <v>93.52939856373429</v>
      </c>
      <c r="P422" s="497">
        <f t="shared" ca="1" si="186"/>
        <v>93.52939856373429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</f>
        <v>133680</v>
      </c>
      <c r="N424" s="93">
        <f>N425+N426+N427+N428</f>
        <v>125030.1</v>
      </c>
      <c r="O424" s="93">
        <f t="shared" ca="1" si="185"/>
        <v>93.52939856373429</v>
      </c>
      <c r="P424" s="93">
        <f t="shared" ca="1" si="186"/>
        <v>93.52939856373429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99620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25410.1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244480</v>
      </c>
      <c r="O444" s="195">
        <f t="shared" ref="O444:O449" ca="1" si="198">IF(L444&gt;0,N444*100/L444,0)</f>
        <v>73.749622926093508</v>
      </c>
      <c r="P444" s="195">
        <f t="shared" ref="P444:P449" ca="1" si="199">IF(M444&gt;0,N444*100/M444,0)</f>
        <v>73.749622926093508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244480</v>
      </c>
      <c r="O446" s="93">
        <f t="shared" ca="1" si="198"/>
        <v>73.749622926093508</v>
      </c>
      <c r="P446" s="93">
        <f t="shared" ca="1" si="199"/>
        <v>73.749622926093508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244480</v>
      </c>
      <c r="O447" s="497">
        <f t="shared" ca="1" si="198"/>
        <v>73.749622926093508</v>
      </c>
      <c r="P447" s="497">
        <f t="shared" ca="1" si="199"/>
        <v>73.749622926093508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244480</v>
      </c>
      <c r="O449" s="93">
        <f t="shared" ca="1" si="198"/>
        <v>73.749622926093508</v>
      </c>
      <c r="P449" s="93">
        <f t="shared" ca="1" si="199"/>
        <v>73.749622926093508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29480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791183.67999999993</v>
      </c>
      <c r="O467" s="195">
        <f t="shared" ref="O467:O472" ca="1" si="207">IF(L467&gt;0,N467*100/L467,0)</f>
        <v>67.830201522953175</v>
      </c>
      <c r="P467" s="195">
        <f t="shared" ref="P467:P472" ca="1" si="208">IF(M467&gt;0,N467*100/M467,0)</f>
        <v>67.830201522953175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791183.67999999993</v>
      </c>
      <c r="O469" s="93">
        <f t="shared" ca="1" si="207"/>
        <v>67.830201522953175</v>
      </c>
      <c r="P469" s="93">
        <f t="shared" ca="1" si="208"/>
        <v>67.830201522953175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791183.67999999993</v>
      </c>
      <c r="O470" s="497">
        <f t="shared" ca="1" si="207"/>
        <v>67.830201522953175</v>
      </c>
      <c r="P470" s="497">
        <f t="shared" ca="1" si="208"/>
        <v>67.830201522953175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791183.67999999993</v>
      </c>
      <c r="O472" s="93">
        <f t="shared" ca="1" si="207"/>
        <v>67.830201522953175</v>
      </c>
      <c r="P472" s="93">
        <f t="shared" ca="1" si="208"/>
        <v>67.830201522953175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76266.679999999993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24752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132104.29999999999</v>
      </c>
      <c r="O544" s="155">
        <f t="shared" ref="O544:O549" ca="1" si="237">IF(L544&gt;0,N544*100/L544,0)</f>
        <v>50.517896749521981</v>
      </c>
      <c r="P544" s="155">
        <f t="shared" ref="P544:P549" ca="1" si="238">IF(M544&gt;0,N544*100/M544,0)</f>
        <v>50.517896749521981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132104.29999999999</v>
      </c>
      <c r="O546" s="93">
        <f t="shared" ca="1" si="237"/>
        <v>50.517896749521981</v>
      </c>
      <c r="P546" s="93">
        <f t="shared" ca="1" si="238"/>
        <v>50.517896749521981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132104.29999999999</v>
      </c>
      <c r="O547" s="497">
        <f t="shared" ca="1" si="237"/>
        <v>50.517896749521981</v>
      </c>
      <c r="P547" s="497">
        <f t="shared" ca="1" si="238"/>
        <v>50.517896749521981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132104.29999999999</v>
      </c>
      <c r="O549" s="93">
        <f t="shared" ca="1" si="237"/>
        <v>50.517896749521981</v>
      </c>
      <c r="P549" s="93">
        <f t="shared" ca="1" si="238"/>
        <v>50.517896749521981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54104.3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633</v>
      </c>
      <c r="K592" s="672">
        <f t="shared" ref="K592:K594" ca="1" si="254">IF(I592&gt;0,J592*100/I592,0)</f>
        <v>59.001174430960241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633</v>
      </c>
      <c r="K593" s="411">
        <f t="shared" ca="1" si="254"/>
        <v>59.001174430960241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73</v>
      </c>
      <c r="K594" s="411">
        <f t="shared" ca="1" si="254"/>
        <v>44.242424242424242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2905</v>
      </c>
      <c r="O685" s="195">
        <f t="shared" ref="O685:O688" ca="1" si="283">IF(L685&gt;0,N685*100/L685,0)</f>
        <v>9.1930379746835449</v>
      </c>
      <c r="P685" s="195">
        <f t="shared" ref="P685:P688" ca="1" si="284">IF(M685&gt;0,N685*100/M685,0)</f>
        <v>9.1930379746835449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2905</v>
      </c>
      <c r="O687" s="93">
        <f t="shared" ca="1" si="283"/>
        <v>9.1930379746835449</v>
      </c>
      <c r="P687" s="93">
        <f t="shared" ca="1" si="284"/>
        <v>9.1930379746835449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2905</v>
      </c>
      <c r="O688" s="497">
        <f t="shared" ca="1" si="283"/>
        <v>9.1930379746835449</v>
      </c>
      <c r="P688" s="497">
        <f t="shared" ca="1" si="284"/>
        <v>9.1930379746835449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2905</v>
      </c>
      <c r="O690" s="93">
        <f ca="1">IF(L690&gt;0,N690*100/L690,0)</f>
        <v>9.1930379746835449</v>
      </c>
      <c r="P690" s="93">
        <f ca="1">IF(M690&gt;0,N690*100/M690,0)</f>
        <v>9.1930379746835449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2905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40</v>
      </c>
      <c r="K701" s="195">
        <f t="shared" ca="1" si="290"/>
        <v>13.333333333333334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40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10</v>
      </c>
      <c r="K721" s="195">
        <f t="shared" ca="1" si="291"/>
        <v>28.571428571428573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99.51</v>
      </c>
      <c r="K722" s="195">
        <f t="shared" ca="1" si="291"/>
        <v>28.431428571428572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IFERROR(__xludf.DUMMYFUNCTION("IMPORTRANGE(""https://docs.google.com/spreadsheets/d/1XWAQStnk-4SwqDmLtmXYiTMKHgktTP8We1SCoS47DrQ/edit?usp=sharing"",""จัดที่ดิน!BM55"")"),10)</f>
        <v>10</v>
      </c>
      <c r="K723" s="497">
        <f t="shared" ca="1" si="291"/>
        <v>33.333333333333336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IFERROR(__xludf.DUMMYFUNCTION("IMPORTRANGE(""https://docs.google.com/spreadsheets/d/1XWAQStnk-4SwqDmLtmXYiTMKHgktTP8We1SCoS47DrQ/edit?usp=sharing"",""จัดที่ดิน!BN55"")"),14)</f>
        <v>14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IFERROR(__xludf.DUMMYFUNCTION("IMPORTRANGE(""https://docs.google.com/spreadsheets/d/1XWAQStnk-4SwqDmLtmXYiTMKHgktTP8We1SCoS47DrQ/edit?usp=sharing"",""จัดที่ดิน!BO55"")"),99.51)</f>
        <v>99.51</v>
      </c>
      <c r="K725" s="497">
        <f t="shared" ref="K725:K726" ca="1" si="292">IF(I725&gt;0,J725*100/I725,0)</f>
        <v>33.17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IFERROR(__xludf.DUMMYFUNCTION("IMPORTRANGE(""https://docs.google.com/spreadsheets/d/19vJNZY_5yjcGF2XGBMNZRCAIB0Kwfpjp8YEOfu-bneM/edit?usp=sharing"",""งานกองทุน!F55"")"),2462423.38)</f>
        <v>2462423.38</v>
      </c>
      <c r="K821" s="497">
        <f t="shared" ref="K821:K828" ca="1" si="335">IF(I821&gt;0,J821*100/I821,0)</f>
        <v>49.60903659508886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IFERROR(__xludf.DUMMYFUNCTION("IMPORTRANGE(""https://docs.google.com/spreadsheets/d/19vJNZY_5yjcGF2XGBMNZRCAIB0Kwfpjp8YEOfu-bneM/edit?usp=sharing"",""งานกองทุน!E55"")"),112)</f>
        <v>112</v>
      </c>
      <c r="K822" s="497">
        <f t="shared" ca="1" si="335"/>
        <v>52.582159624413144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IFERROR(__xludf.DUMMYFUNCTION("IMPORTRANGE(""https://docs.google.com/spreadsheets/d/19vJNZY_5yjcGF2XGBMNZRCAIB0Kwfpjp8YEOfu-bneM/edit?usp=sharing"",""งานกองทุน!K55"")"),655734.65)</f>
        <v>655734.65</v>
      </c>
      <c r="K823" s="497">
        <f t="shared" ca="1" si="335"/>
        <v>6.6166522221489954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IFERROR(__xludf.DUMMYFUNCTION("IMPORTRANGE(""https://docs.google.com/spreadsheets/d/19vJNZY_5yjcGF2XGBMNZRCAIB0Kwfpjp8YEOfu-bneM/edit?usp=sharing"",""งานกองทุน!J55"")"),67)</f>
        <v>67</v>
      </c>
      <c r="K824" s="497">
        <f t="shared" ca="1" si="335"/>
        <v>27.572016460905349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IFERROR(__xludf.DUMMYFUNCTION("IMPORTRANGE(""https://docs.google.com/spreadsheets/d/19vJNZY_5yjcGF2XGBMNZRCAIB0Kwfpjp8YEOfu-bneM/edit?usp=sharing"",""งานกองทุน!P55"")"),2496936.6)</f>
        <v>2496936.6</v>
      </c>
      <c r="K825" s="497">
        <f t="shared" ca="1" si="335"/>
        <v>43.812206611421416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IFERROR(__xludf.DUMMYFUNCTION("IMPORTRANGE(""https://docs.google.com/spreadsheets/d/19vJNZY_5yjcGF2XGBMNZRCAIB0Kwfpjp8YEOfu-bneM/edit?usp=sharing"",""งานกองทุน!O55"")"),1532)</f>
        <v>1532</v>
      </c>
      <c r="K826" s="497">
        <f t="shared" ca="1" si="335"/>
        <v>58.674837227116051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IFERROR(__xludf.DUMMYFUNCTION("IMPORTRANGE(""https://docs.google.com/spreadsheets/d/19vJNZY_5yjcGF2XGBMNZRCAIB0Kwfpjp8YEOfu-bneM/edit?usp=sharing"",""งานกองทุน!U55"")"),2490000)</f>
        <v>2490000</v>
      </c>
      <c r="K827" s="497">
        <f t="shared" ca="1" si="335"/>
        <v>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IFERROR(__xludf.DUMMYFUNCTION("IMPORTRANGE(""https://docs.google.com/spreadsheets/d/19vJNZY_5yjcGF2XGBMNZRCAIB0Kwfpjp8YEOfu-bneM/edit?usp=sharing"",""งานกองทุน!T55"")"),83)</f>
        <v>83</v>
      </c>
      <c r="K828" s="502">
        <f t="shared" ca="1" si="335"/>
        <v>69.747899159663859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7E3AE-FF3A-48CC-85D9-3C80449F03F1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4837197</v>
      </c>
      <c r="N8" s="22">
        <f t="shared" ca="1" si="0"/>
        <v>4123916.46</v>
      </c>
      <c r="O8" s="22">
        <f t="shared" ref="O8:O16" ca="1" si="1">IF(L8&gt;0,N8*100/L8,0)</f>
        <v>77.572387658366836</v>
      </c>
      <c r="P8" s="22">
        <f t="shared" ref="P8:P16" ca="1" si="2">IF(M8&gt;0,N8*100/M8,0)</f>
        <v>85.25425902645685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4837197</v>
      </c>
      <c r="N10" s="30">
        <f t="shared" ca="1" si="3"/>
        <v>4123916.46</v>
      </c>
      <c r="O10" s="30">
        <f t="shared" ca="1" si="1"/>
        <v>77.572387658366836</v>
      </c>
      <c r="P10" s="30">
        <f t="shared" ca="1" si="2"/>
        <v>85.25425902645685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3897297</v>
      </c>
      <c r="N11" s="497">
        <f t="shared" ca="1" si="4"/>
        <v>3184016.46</v>
      </c>
      <c r="O11" s="497">
        <f t="shared" ca="1" si="1"/>
        <v>72.772246216674134</v>
      </c>
      <c r="P11" s="497">
        <f t="shared" ca="1" si="2"/>
        <v>81.698070739797359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3897297</v>
      </c>
      <c r="N13" s="93">
        <f t="shared" ca="1" si="5"/>
        <v>3184016.46</v>
      </c>
      <c r="O13" s="93">
        <f t="shared" ca="1" si="1"/>
        <v>72.772246216674134</v>
      </c>
      <c r="P13" s="93">
        <f t="shared" ca="1" si="2"/>
        <v>81.698070739797359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939900</v>
      </c>
      <c r="N14" s="497">
        <f t="shared" ca="1" si="6"/>
        <v>939900</v>
      </c>
      <c r="O14" s="497">
        <f t="shared" ca="1" si="1"/>
        <v>99.8937187798916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939900</v>
      </c>
      <c r="N16" s="52">
        <f t="shared" ca="1" si="7"/>
        <v>939900</v>
      </c>
      <c r="O16" s="52">
        <f t="shared" ca="1" si="1"/>
        <v>99.8937187798916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3457739</v>
      </c>
      <c r="N18" s="22">
        <f t="shared" ca="1" si="8"/>
        <v>3016223.1100000003</v>
      </c>
      <c r="O18" s="22">
        <f t="shared" ref="O18:O26" ca="1" si="9">IF(L18&gt;0,N18*100/L18,0)</f>
        <v>76.711221924968456</v>
      </c>
      <c r="P18" s="22">
        <f t="shared" ref="P18:P26" ca="1" si="10">IF(M18&gt;0,N18*100/M18,0)</f>
        <v>87.231081061930951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3457739</v>
      </c>
      <c r="N20" s="30">
        <f t="shared" ca="1" si="11"/>
        <v>3016223.1100000003</v>
      </c>
      <c r="O20" s="30">
        <f t="shared" ca="1" si="9"/>
        <v>76.711221924968456</v>
      </c>
      <c r="P20" s="30">
        <f t="shared" ca="1" si="10"/>
        <v>87.231081061930951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2517839</v>
      </c>
      <c r="N21" s="497">
        <f t="shared" ca="1" si="12"/>
        <v>2076323.11</v>
      </c>
      <c r="O21" s="497">
        <f t="shared" ca="1" si="9"/>
        <v>69.418586441610699</v>
      </c>
      <c r="P21" s="497">
        <f t="shared" ca="1" si="10"/>
        <v>82.464490779593135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2517839</v>
      </c>
      <c r="N23" s="93">
        <f t="shared" ca="1" si="13"/>
        <v>2076323.11</v>
      </c>
      <c r="O23" s="93">
        <f t="shared" ca="1" si="9"/>
        <v>69.418586441610699</v>
      </c>
      <c r="P23" s="93">
        <f t="shared" ca="1" si="10"/>
        <v>82.464490779593135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939900</v>
      </c>
      <c r="N24" s="497">
        <f t="shared" ca="1" si="14"/>
        <v>939900</v>
      </c>
      <c r="O24" s="497">
        <f t="shared" ca="1" si="9"/>
        <v>99.8937187798916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939900</v>
      </c>
      <c r="N26" s="52">
        <f t="shared" ca="1" si="15"/>
        <v>939900</v>
      </c>
      <c r="O26" s="52">
        <f t="shared" ca="1" si="9"/>
        <v>99.8937187798916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1107693.3500000001</v>
      </c>
      <c r="O28" s="22">
        <f t="shared" ref="O28:O37" ca="1" si="17">IF(L28&gt;0,N28*100/L28,0)</f>
        <v>80.018417277204776</v>
      </c>
      <c r="P28" s="22">
        <f t="shared" ref="P28:P37" ca="1" si="18">IF(M28&gt;0,N28*100/M28,0)</f>
        <v>80.299171848653614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1107693.3500000001</v>
      </c>
      <c r="O30" s="30">
        <f t="shared" ca="1" si="17"/>
        <v>80.018417277204776</v>
      </c>
      <c r="P30" s="30">
        <f t="shared" ca="1" si="18"/>
        <v>80.299171848653614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1107693.3500000001</v>
      </c>
      <c r="O31" s="497">
        <f t="shared" ca="1" si="17"/>
        <v>80.018417277204776</v>
      </c>
      <c r="P31" s="497">
        <f t="shared" ca="1" si="18"/>
        <v>80.299171848653614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1107693.3500000001</v>
      </c>
      <c r="O33" s="93">
        <f t="shared" ca="1" si="17"/>
        <v>80.018417277204776</v>
      </c>
      <c r="P33" s="93">
        <f t="shared" ca="1" si="18"/>
        <v>80.299171848653614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3457739</v>
      </c>
      <c r="N37" s="59">
        <f t="shared" ca="1" si="24"/>
        <v>3016223.1100000003</v>
      </c>
      <c r="O37" s="59">
        <f t="shared" ca="1" si="17"/>
        <v>76.711221924968456</v>
      </c>
      <c r="P37" s="59">
        <f t="shared" ca="1" si="18"/>
        <v>87.231081061930951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576714</v>
      </c>
      <c r="N41" s="85">
        <f t="shared" ca="1" si="25"/>
        <v>343263</v>
      </c>
      <c r="O41" s="85">
        <f t="shared" ref="O41:O49" ca="1" si="26">IF(L41&gt;0,N41*100/L41,0)</f>
        <v>61.009457218571768</v>
      </c>
      <c r="P41" s="85">
        <f t="shared" ref="P41:P49" ca="1" si="27">IF(M41&gt;0,N41*100/M41,0)</f>
        <v>59.520490225657781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576714</v>
      </c>
      <c r="N43" s="92">
        <f t="shared" ca="1" si="28"/>
        <v>343263</v>
      </c>
      <c r="O43" s="92">
        <f t="shared" ca="1" si="26"/>
        <v>61.009457218571768</v>
      </c>
      <c r="P43" s="92">
        <f t="shared" ca="1" si="27"/>
        <v>59.520490225657781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576714</v>
      </c>
      <c r="N44" s="497">
        <f t="shared" ca="1" si="29"/>
        <v>343263</v>
      </c>
      <c r="O44" s="497">
        <f t="shared" ca="1" si="26"/>
        <v>61.009457218571768</v>
      </c>
      <c r="P44" s="497">
        <f t="shared" ca="1" si="27"/>
        <v>59.520490225657781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IFERROR(__xludf.DUMMYFUNCTION("IMPORTRANGE(""https://docs.google.com/spreadsheets/d/1MeEWN-I1oV_STSDYn1IFDPWt_1FKiwhDph83XaGc0o0/edit?usp=sharing"",""งบพรบ!R56"")"),576714)</f>
        <v>576714</v>
      </c>
      <c r="N46" s="93">
        <f ca="1">IFERROR(__xludf.DUMMYFUNCTION("IMPORTRANGE(""https://docs.google.com/spreadsheets/d/1MeEWN-I1oV_STSDYn1IFDPWt_1FKiwhDph83XaGc0o0/edit?usp=sharing"",""งบพรบ!T56"")"),343263)</f>
        <v>343263</v>
      </c>
      <c r="O46" s="93">
        <f t="shared" ca="1" si="26"/>
        <v>61.009457218571768</v>
      </c>
      <c r="P46" s="93">
        <f t="shared" ca="1" si="27"/>
        <v>59.520490225657781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575850</v>
      </c>
      <c r="N53" s="116">
        <f t="shared" ca="1" si="31"/>
        <v>564001.24</v>
      </c>
      <c r="O53" s="116">
        <f t="shared" ref="O53:O61" ca="1" si="32">IF(L53&gt;0,N53*100/L53,0)</f>
        <v>74.950330897009962</v>
      </c>
      <c r="P53" s="116">
        <f t="shared" ref="P53:P61" ca="1" si="33">IF(M53&gt;0,N53*100/M53,0)</f>
        <v>97.942387774594081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575850</v>
      </c>
      <c r="N55" s="123">
        <f t="shared" ca="1" si="34"/>
        <v>564001.24</v>
      </c>
      <c r="O55" s="123">
        <f t="shared" ca="1" si="32"/>
        <v>74.950330897009962</v>
      </c>
      <c r="P55" s="123">
        <f t="shared" ca="1" si="33"/>
        <v>97.942387774594081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529950</v>
      </c>
      <c r="N56" s="497">
        <f t="shared" ca="1" si="35"/>
        <v>518101.24</v>
      </c>
      <c r="O56" s="497">
        <f t="shared" ca="1" si="32"/>
        <v>73.323130484007919</v>
      </c>
      <c r="P56" s="497">
        <f t="shared" ca="1" si="33"/>
        <v>97.764173978677235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IFERROR(__xludf.DUMMYFUNCTION("IMPORTRANGE(""https://docs.google.com/spreadsheets/d/1MeEWN-I1oV_STSDYn1IFDPWt_1FKiwhDph83XaGc0o0/edit?usp=sharing"",""งบพรบ!AB56"")"),529950)</f>
        <v>529950</v>
      </c>
      <c r="N58" s="93">
        <f ca="1">IFERROR(__xludf.DUMMYFUNCTION("IMPORTRANGE(""https://docs.google.com/spreadsheets/d/1MeEWN-I1oV_STSDYn1IFDPWt_1FKiwhDph83XaGc0o0/edit?usp=sharing"",""งบพรบ!AD56"")"),518101.24)</f>
        <v>518101.24</v>
      </c>
      <c r="O58" s="93">
        <f t="shared" ca="1" si="32"/>
        <v>73.323130484007919</v>
      </c>
      <c r="P58" s="93">
        <f t="shared" ca="1" si="33"/>
        <v>97.764173978677235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36955</v>
      </c>
      <c r="N88" s="155">
        <f t="shared" ca="1" si="49"/>
        <v>28883</v>
      </c>
      <c r="O88" s="155">
        <f t="shared" ref="O88:O96" ca="1" si="50">IF(L88&gt;0,N88*100/L88,0)</f>
        <v>92.573717948717942</v>
      </c>
      <c r="P88" s="155">
        <f t="shared" ref="P88:P96" ca="1" si="51">IF(M88&gt;0,N88*100/M88,0)</f>
        <v>78.157218238398045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36955</v>
      </c>
      <c r="N90" s="93">
        <f t="shared" ca="1" si="52"/>
        <v>28883</v>
      </c>
      <c r="O90" s="93">
        <f t="shared" ca="1" si="50"/>
        <v>92.573717948717942</v>
      </c>
      <c r="P90" s="93">
        <f t="shared" ca="1" si="51"/>
        <v>78.157218238398045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36955</v>
      </c>
      <c r="N91" s="497">
        <f t="shared" ca="1" si="53"/>
        <v>28883</v>
      </c>
      <c r="O91" s="497">
        <f t="shared" ca="1" si="50"/>
        <v>92.573717948717942</v>
      </c>
      <c r="P91" s="497">
        <f t="shared" ca="1" si="51"/>
        <v>78.157218238398045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IFERROR(__xludf.DUMMYFUNCTION("IMPORTRANGE(""https://docs.google.com/spreadsheets/d/1MeEWN-I1oV_STSDYn1IFDPWt_1FKiwhDph83XaGc0o0/edit?usp=sharing"",""งบพรบ!AV56"")"),36955)</f>
        <v>36955</v>
      </c>
      <c r="N93" s="93">
        <f ca="1">IFERROR(__xludf.DUMMYFUNCTION("IMPORTRANGE(""https://docs.google.com/spreadsheets/d/1MeEWN-I1oV_STSDYn1IFDPWt_1FKiwhDph83XaGc0o0/edit?usp=sharing"",""งบพรบ!AX56"")"),28883)</f>
        <v>28883</v>
      </c>
      <c r="O93" s="93">
        <f t="shared" ca="1" si="50"/>
        <v>92.573717948717942</v>
      </c>
      <c r="P93" s="93">
        <f t="shared" ca="1" si="51"/>
        <v>78.157218238398045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159370</v>
      </c>
      <c r="N181" s="155">
        <f t="shared" ca="1" si="92"/>
        <v>159050</v>
      </c>
      <c r="O181" s="155">
        <f t="shared" ref="O181:O189" ca="1" si="93">IF(L181&gt;0,N181*100/L181,0)</f>
        <v>103.34632878492528</v>
      </c>
      <c r="P181" s="155">
        <f t="shared" ref="P181:P189" ca="1" si="94">IF(M181&gt;0,N181*100/M181,0)</f>
        <v>99.799209386961167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159370</v>
      </c>
      <c r="N183" s="93">
        <f t="shared" ca="1" si="95"/>
        <v>159050</v>
      </c>
      <c r="O183" s="93">
        <f t="shared" ca="1" si="93"/>
        <v>103.34632878492528</v>
      </c>
      <c r="P183" s="93">
        <f t="shared" ca="1" si="94"/>
        <v>99.799209386961167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159370</v>
      </c>
      <c r="N184" s="497">
        <f t="shared" ca="1" si="96"/>
        <v>159050</v>
      </c>
      <c r="O184" s="497">
        <f t="shared" ca="1" si="93"/>
        <v>103.34632878492528</v>
      </c>
      <c r="P184" s="497">
        <f t="shared" ca="1" si="94"/>
        <v>99.799209386961167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IFERROR(__xludf.DUMMYFUNCTION("IMPORTRANGE(""https://docs.google.com/spreadsheets/d/1MeEWN-I1oV_STSDYn1IFDPWt_1FKiwhDph83XaGc0o0/edit?usp=sharing"",""งบพรบ!CT56"")"),159370)</f>
        <v>159370</v>
      </c>
      <c r="N186" s="93">
        <f ca="1">IFERROR(__xludf.DUMMYFUNCTION("IMPORTRANGE(""https://docs.google.com/spreadsheets/d/1MeEWN-I1oV_STSDYn1IFDPWt_1FKiwhDph83XaGc0o0/edit?usp=sharing"",""งบพรบ!CV56"")"),159050)</f>
        <v>159050</v>
      </c>
      <c r="O186" s="93">
        <f t="shared" ca="1" si="93"/>
        <v>103.34632878492528</v>
      </c>
      <c r="P186" s="93">
        <f t="shared" ca="1" si="94"/>
        <v>99.799209386961167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13000</v>
      </c>
      <c r="O217" s="155">
        <f ca="1">IF(L217&gt;0,N217*100/L217,0)</f>
        <v>81.76100628930817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72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72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19275</v>
      </c>
      <c r="O261" s="155">
        <f t="shared" ref="O261:O269" ca="1" si="117">IF(L261&gt;0,N261*100/L261,0)</f>
        <v>77.099999999999994</v>
      </c>
      <c r="P261" s="155">
        <f t="shared" ref="P261:P269" ca="1" si="118">IF(M261&gt;0,N261*100/M261,0)</f>
        <v>87.61363636363636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19275</v>
      </c>
      <c r="O263" s="93">
        <f t="shared" ca="1" si="117"/>
        <v>77.099999999999994</v>
      </c>
      <c r="P263" s="93">
        <f t="shared" ca="1" si="118"/>
        <v>87.61363636363636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19275</v>
      </c>
      <c r="O264" s="497">
        <f t="shared" ca="1" si="117"/>
        <v>77.099999999999994</v>
      </c>
      <c r="P264" s="497">
        <f t="shared" ca="1" si="118"/>
        <v>87.61363636363636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IFERROR(__xludf.DUMMYFUNCTION("IMPORTRANGE(""https://docs.google.com/spreadsheets/d/1MeEWN-I1oV_STSDYn1IFDPWt_1FKiwhDph83XaGc0o0/edit?usp=sharing"",""งบพรบ!DD56"")"),22000)</f>
        <v>22000</v>
      </c>
      <c r="N266" s="93">
        <f ca="1">IFERROR(__xludf.DUMMYFUNCTION("IMPORTRANGE(""https://docs.google.com/spreadsheets/d/1MeEWN-I1oV_STSDYn1IFDPWt_1FKiwhDph83XaGc0o0/edit?usp=sharing"",""งบพรบ!DF56"")"),19275)</f>
        <v>19275</v>
      </c>
      <c r="O266" s="93">
        <f t="shared" ca="1" si="117"/>
        <v>77.099999999999994</v>
      </c>
      <c r="P266" s="93">
        <f t="shared" ca="1" si="118"/>
        <v>87.61363636363636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118400</v>
      </c>
      <c r="N277" s="155">
        <f t="shared" ca="1" si="125"/>
        <v>78773</v>
      </c>
      <c r="O277" s="155">
        <f t="shared" ref="O277:O285" ca="1" si="126">IF(L277&gt;0,N277*100/L277,0)</f>
        <v>48.318100963012945</v>
      </c>
      <c r="P277" s="155">
        <f t="shared" ref="P277:P285" ca="1" si="127">IF(M277&gt;0,N277*100/M277,0)</f>
        <v>66.53125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118400</v>
      </c>
      <c r="N279" s="93">
        <f t="shared" ca="1" si="128"/>
        <v>78773</v>
      </c>
      <c r="O279" s="93">
        <f t="shared" ca="1" si="126"/>
        <v>48.318100963012945</v>
      </c>
      <c r="P279" s="93">
        <f t="shared" ca="1" si="127"/>
        <v>66.53125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118400</v>
      </c>
      <c r="N280" s="497">
        <f t="shared" ca="1" si="129"/>
        <v>78773</v>
      </c>
      <c r="O280" s="497">
        <f t="shared" ca="1" si="126"/>
        <v>48.318100963012945</v>
      </c>
      <c r="P280" s="497">
        <f t="shared" ca="1" si="127"/>
        <v>66.53125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IFERROR(__xludf.DUMMYFUNCTION("IMPORTRANGE(""https://docs.google.com/spreadsheets/d/1MeEWN-I1oV_STSDYn1IFDPWt_1FKiwhDph83XaGc0o0/edit?usp=sharing"",""งบพรบ!DN56"")"),118400)</f>
        <v>118400</v>
      </c>
      <c r="N282" s="93">
        <f ca="1">IFERROR(__xludf.DUMMYFUNCTION("IMPORTRANGE(""https://docs.google.com/spreadsheets/d/1MeEWN-I1oV_STSDYn1IFDPWt_1FKiwhDph83XaGc0o0/edit?usp=sharing"",""งบพรบ!DP56"")"),78773)</f>
        <v>78773</v>
      </c>
      <c r="O282" s="93">
        <f t="shared" ca="1" si="126"/>
        <v>48.318100963012945</v>
      </c>
      <c r="P282" s="93">
        <f t="shared" ca="1" si="127"/>
        <v>66.53125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167800</v>
      </c>
      <c r="N298" s="155">
        <f t="shared" ca="1" si="135"/>
        <v>140450.6</v>
      </c>
      <c r="O298" s="155">
        <f t="shared" ref="O298:O306" ca="1" si="136">IF(L298&gt;0,N298*100/L298,0)</f>
        <v>67.916150870406184</v>
      </c>
      <c r="P298" s="155">
        <f t="shared" ref="P298:P306" ca="1" si="137">IF(M298&gt;0,N298*100/M298,0)</f>
        <v>83.701191895113226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167800</v>
      </c>
      <c r="N300" s="93">
        <f t="shared" ca="1" si="138"/>
        <v>140450.6</v>
      </c>
      <c r="O300" s="93">
        <f t="shared" ca="1" si="136"/>
        <v>67.916150870406184</v>
      </c>
      <c r="P300" s="93">
        <f t="shared" ca="1" si="137"/>
        <v>83.701191895113226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167800</v>
      </c>
      <c r="N301" s="497">
        <f t="shared" ca="1" si="139"/>
        <v>140450.6</v>
      </c>
      <c r="O301" s="497">
        <f t="shared" ca="1" si="136"/>
        <v>67.916150870406184</v>
      </c>
      <c r="P301" s="497">
        <f t="shared" ca="1" si="137"/>
        <v>83.701191895113226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IFERROR(__xludf.DUMMYFUNCTION("IMPORTRANGE(""https://docs.google.com/spreadsheets/d/1MeEWN-I1oV_STSDYn1IFDPWt_1FKiwhDph83XaGc0o0/edit?usp=sharing"",""งบพรบ!DX56"")"),167800)</f>
        <v>167800</v>
      </c>
      <c r="N303" s="93">
        <f ca="1">IFERROR(__xludf.DUMMYFUNCTION("IMPORTRANGE(""https://docs.google.com/spreadsheets/d/1MeEWN-I1oV_STSDYn1IFDPWt_1FKiwhDph83XaGc0o0/edit?usp=sharing"",""งบพรบ!DZ56"")"),140450.6)</f>
        <v>140450.6</v>
      </c>
      <c r="O303" s="93">
        <f t="shared" ca="1" si="136"/>
        <v>67.916150870406184</v>
      </c>
      <c r="P303" s="93">
        <f t="shared" ca="1" si="137"/>
        <v>83.701191895113226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78799</v>
      </c>
      <c r="O315" s="155">
        <f t="shared" ref="O315:O323" ca="1" si="144">IF(L315&gt;0,N315*100/L315,0)</f>
        <v>51.502614379084967</v>
      </c>
      <c r="P315" s="155">
        <f t="shared" ref="P315:P323" ca="1" si="145">IF(M315&gt;0,N315*100/M315,0)</f>
        <v>68.820087336244541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78799</v>
      </c>
      <c r="O317" s="93">
        <f t="shared" ca="1" si="144"/>
        <v>51.502614379084967</v>
      </c>
      <c r="P317" s="93">
        <f t="shared" ca="1" si="145"/>
        <v>68.820087336244541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78799</v>
      </c>
      <c r="O318" s="497">
        <f t="shared" ca="1" si="144"/>
        <v>51.502614379084967</v>
      </c>
      <c r="P318" s="497">
        <f t="shared" ca="1" si="145"/>
        <v>68.820087336244541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IFERROR(__xludf.DUMMYFUNCTION("IMPORTRANGE(""https://docs.google.com/spreadsheets/d/1MeEWN-I1oV_STSDYn1IFDPWt_1FKiwhDph83XaGc0o0/edit?usp=sharing"",""งบพรบ!EH56"")"),114500)</f>
        <v>114500</v>
      </c>
      <c r="N320" s="93">
        <f ca="1">IFERROR(__xludf.DUMMYFUNCTION("IMPORTRANGE(""https://docs.google.com/spreadsheets/d/1MeEWN-I1oV_STSDYn1IFDPWt_1FKiwhDph83XaGc0o0/edit?usp=sharing"",""งบพรบ!EJ56"")"),78799)</f>
        <v>78799</v>
      </c>
      <c r="O320" s="93">
        <f t="shared" ca="1" si="144"/>
        <v>51.502614379084967</v>
      </c>
      <c r="P320" s="93">
        <f t="shared" ca="1" si="145"/>
        <v>68.820087336244541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1832</v>
      </c>
      <c r="K327" s="445">
        <f ca="1">IF(I327&gt;0,J327*100/I327,0)</f>
        <v>130.85714285714286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976000</v>
      </c>
      <c r="N328" s="155">
        <f t="shared" ca="1" si="149"/>
        <v>970255.77</v>
      </c>
      <c r="O328" s="155">
        <f t="shared" ref="O328:O336" ca="1" si="150">IF(L328&gt;0,N328*100/L328,0)</f>
        <v>95.497615157480311</v>
      </c>
      <c r="P328" s="155">
        <f t="shared" ref="P328:P336" ca="1" si="151">IF(M328&gt;0,N328*100/M328,0)</f>
        <v>99.411451844262288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976000</v>
      </c>
      <c r="N330" s="93">
        <f t="shared" ca="1" si="152"/>
        <v>970255.77</v>
      </c>
      <c r="O330" s="93">
        <f t="shared" ca="1" si="150"/>
        <v>95.497615157480311</v>
      </c>
      <c r="P330" s="93">
        <f t="shared" ca="1" si="151"/>
        <v>99.411451844262288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121255.77</v>
      </c>
      <c r="O331" s="497">
        <f t="shared" ca="1" si="150"/>
        <v>73.045644578313258</v>
      </c>
      <c r="P331" s="497">
        <f t="shared" ca="1" si="151"/>
        <v>95.476984251968503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IFERROR(__xludf.DUMMYFUNCTION("IMPORTRANGE(""https://docs.google.com/spreadsheets/d/1MeEWN-I1oV_STSDYn1IFDPWt_1FKiwhDph83XaGc0o0/edit?usp=sharing"",""งบพรบ!ER56"")"),127000)</f>
        <v>127000</v>
      </c>
      <c r="N333" s="93">
        <f ca="1">IFERROR(__xludf.DUMMYFUNCTION("IMPORTRANGE(""https://docs.google.com/spreadsheets/d/1MeEWN-I1oV_STSDYn1IFDPWt_1FKiwhDph83XaGc0o0/edit?usp=sharing"",""งบพรบ!ET56"")"),121255.77)</f>
        <v>121255.77</v>
      </c>
      <c r="O333" s="93">
        <f t="shared" ca="1" si="150"/>
        <v>73.045644578313258</v>
      </c>
      <c r="P333" s="93">
        <f t="shared" ca="1" si="151"/>
        <v>95.476984251968503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849000</v>
      </c>
      <c r="N334" s="497">
        <f t="shared" ca="1" si="154"/>
        <v>849000</v>
      </c>
      <c r="O334" s="497">
        <f t="shared" ca="1" si="150"/>
        <v>99.882352941176464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IFERROR(__xludf.DUMMYFUNCTION("IMPORTRANGE(""https://docs.google.com/spreadsheets/d/1MeEWN-I1oV_STSDYn1IFDPWt_1FKiwhDph83XaGc0o0/edit?usp=sharing"",""งบพรบ!ES56"")"),849000)</f>
        <v>849000</v>
      </c>
      <c r="N336" s="93">
        <f ca="1">IFERROR(__xludf.DUMMYFUNCTION("IMPORTRANGE(""https://docs.google.com/spreadsheets/d/1MeEWN-I1oV_STSDYn1IFDPWt_1FKiwhDph83XaGc0o0/edit?usp=sharing"",""งบพรบ!EU56"")"),849000)</f>
        <v>849000</v>
      </c>
      <c r="O336" s="93">
        <f t="shared" ca="1" si="150"/>
        <v>99.882352941176464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IFERROR(__xludf.DUMMYFUNCTION("IMPORTRANGE(""https://docs.google.com/spreadsheets/d/1kVcqe37tkHyjCSG3S0O1AXqVkqjo8mSIZil3BcpIysc/edit?usp=sharing"",""ศูนย์!D56"")"),1802)</f>
        <v>1802</v>
      </c>
      <c r="K338" s="497">
        <f ca="1">IF(I338&gt;0,J338*100/I338,0)</f>
        <v>128.71428571428572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710150</v>
      </c>
      <c r="N345" s="155">
        <f t="shared" ca="1" si="155"/>
        <v>633472.5</v>
      </c>
      <c r="O345" s="155">
        <f t="shared" ref="O345:O353" ca="1" si="156">IF(L345&gt;0,N345*100/L345,0)</f>
        <v>72.993316817422368</v>
      </c>
      <c r="P345" s="155">
        <f t="shared" ref="P345:P353" ca="1" si="157">IF(M345&gt;0,N345*100/M345,0)</f>
        <v>89.202633246497214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710150</v>
      </c>
      <c r="N347" s="93">
        <f t="shared" ca="1" si="158"/>
        <v>633472.5</v>
      </c>
      <c r="O347" s="93">
        <f t="shared" ca="1" si="156"/>
        <v>72.993316817422368</v>
      </c>
      <c r="P347" s="93">
        <f t="shared" ca="1" si="157"/>
        <v>89.202633246497214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665150</v>
      </c>
      <c r="N348" s="497">
        <f t="shared" ca="1" si="159"/>
        <v>588472.5</v>
      </c>
      <c r="O348" s="497">
        <f t="shared" ca="1" si="156"/>
        <v>71.516376010208418</v>
      </c>
      <c r="P348" s="497">
        <f t="shared" ca="1" si="157"/>
        <v>88.472149139291886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IFERROR(__xludf.DUMMYFUNCTION("IMPORTRANGE(""https://docs.google.com/spreadsheets/d/1MeEWN-I1oV_STSDYn1IFDPWt_1FKiwhDph83XaGc0o0/edit?usp=sharing"",""งบพรบ!FB56"")"),665150)</f>
        <v>665150</v>
      </c>
      <c r="N350" s="93">
        <f ca="1">IFERROR(__xludf.DUMMYFUNCTION("IMPORTRANGE(""https://docs.google.com/spreadsheets/d/1MeEWN-I1oV_STSDYn1IFDPWt_1FKiwhDph83XaGc0o0/edit?usp=sharing"",""งบพรบ!FD56"")"),588472.5)</f>
        <v>588472.5</v>
      </c>
      <c r="O350" s="93">
        <f t="shared" ca="1" si="156"/>
        <v>71.516376010208418</v>
      </c>
      <c r="P350" s="93">
        <f t="shared" ca="1" si="157"/>
        <v>88.472149139291886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218</v>
      </c>
      <c r="K355" s="465">
        <f ca="1">IF(I355&gt;0,J355*100/I355,0)</f>
        <v>80.740740740740748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IFERROR(__xludf.DUMMYFUNCTION("IMPORTRANGE(""https://docs.google.com/spreadsheets/d/1XWAQStnk-4SwqDmLtmXYiTMKHgktTP8We1SCoS47DrQ/edit?usp=sharing"",""จัดที่ดิน!W56"")"),329)</f>
        <v>329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IFERROR(__xludf.DUMMYFUNCTION("IMPORTRANGE(""https://docs.google.com/spreadsheets/d/1XWAQStnk-4SwqDmLtmXYiTMKHgktTP8We1SCoS47DrQ/edit?usp=sharing"",""จัดที่ดิน!X56"")"),2691.75)</f>
        <v>2691.75</v>
      </c>
      <c r="K359" s="497">
        <f t="shared" ca="1" si="161"/>
        <v>89.724999999999994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IFERROR(__xludf.DUMMYFUNCTION("IMPORTRANGE(""https://docs.google.com/spreadsheets/d/1XWAQStnk-4SwqDmLtmXYiTMKHgktTP8We1SCoS47DrQ/edit?usp=sharing"",""จัดที่ดิน!Y56"")"),260)</f>
        <v>260</v>
      </c>
      <c r="K360" s="497">
        <f t="shared" ca="1" si="161"/>
        <v>96.296296296296291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IFERROR(__xludf.DUMMYFUNCTION("IMPORTRANGE(""https://docs.google.com/spreadsheets/d/1XWAQStnk-4SwqDmLtmXYiTMKHgktTP8We1SCoS47DrQ/edit?usp=sharing"",""จัดที่ดิน!Z56"")"),1797.12)</f>
        <v>1797.12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IFERROR(__xludf.DUMMYFUNCTION("IMPORTRANGE(""https://docs.google.com/spreadsheets/d/1XWAQStnk-4SwqDmLtmXYiTMKHgktTP8We1SCoS47DrQ/edit?usp=sharing"",""จัดที่ดิน!AA56"")"),218)</f>
        <v>218</v>
      </c>
      <c r="K362" s="497">
        <f t="shared" ca="1" si="161"/>
        <v>80.740740740740748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IFERROR(__xludf.DUMMYFUNCTION("IMPORTRANGE(""https://docs.google.com/spreadsheets/d/1XWAQStnk-4SwqDmLtmXYiTMKHgktTP8We1SCoS47DrQ/edit?usp=sharing"",""จัดที่ดิน!AB56"")"),1807.21)</f>
        <v>1807.21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392</v>
      </c>
      <c r="K364" s="479">
        <f t="shared" ca="1" si="161"/>
        <v>93.333333333333329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120</v>
      </c>
      <c r="K365" s="491">
        <f t="shared" ca="1" si="161"/>
        <v>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IFERROR(__xludf.DUMMYFUNCTION("IMPORTRANGE(""https://docs.google.com/spreadsheets/d/1XWAQStnk-4SwqDmLtmXYiTMKHgktTP8We1SCoS47DrQ/edit?usp=sharing"",""จัดที่ดิน!E56"")"),230)</f>
        <v>230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IFERROR(__xludf.DUMMYFUNCTION("IMPORTRANGE(""https://docs.google.com/spreadsheets/d/1XWAQStnk-4SwqDmLtmXYiTMKHgktTP8We1SCoS47DrQ/edit?usp=sharing"",""จัดที่ดิน!F56"")"),1908.51)</f>
        <v>1908.51</v>
      </c>
      <c r="K369" s="497">
        <f t="shared" ca="1" si="163"/>
        <v>95.4255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IFERROR(__xludf.DUMMYFUNCTION("IMPORTRANGE(""https://docs.google.com/spreadsheets/d/1XWAQStnk-4SwqDmLtmXYiTMKHgktTP8We1SCoS47DrQ/edit?usp=sharing"",""จัดที่ดิน!G56"")"),169)</f>
        <v>169</v>
      </c>
      <c r="K370" s="497">
        <f t="shared" ca="1" si="163"/>
        <v>84.5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IFERROR(__xludf.DUMMYFUNCTION("IMPORTRANGE(""https://docs.google.com/spreadsheets/d/1XWAQStnk-4SwqDmLtmXYiTMKHgktTP8We1SCoS47DrQ/edit?usp=sharing"",""จัดที่ดิน!H56"")"),1104.4)</f>
        <v>1104.4000000000001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IFERROR(__xludf.DUMMYFUNCTION("IMPORTRANGE(""https://docs.google.com/spreadsheets/d/1XWAQStnk-4SwqDmLtmXYiTMKHgktTP8We1SCoS47DrQ/edit?usp=sharing"",""จัดที่ดิน!I56"")"),120)</f>
        <v>120</v>
      </c>
      <c r="K372" s="497">
        <f t="shared" ca="1" si="163"/>
        <v>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IFERROR(__xludf.DUMMYFUNCTION("IMPORTRANGE(""https://docs.google.com/spreadsheets/d/1XWAQStnk-4SwqDmLtmXYiTMKHgktTP8We1SCoS47DrQ/edit?usp=sharing"",""จัดที่ดิน!J56"")"),1020.36)</f>
        <v>1020.36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272</v>
      </c>
      <c r="K374" s="491">
        <f t="shared" ca="1" si="163"/>
        <v>123.63636363636364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IFERROR(__xludf.DUMMYFUNCTION("IMPORTRANGE(""https://docs.google.com/spreadsheets/d/1XWAQStnk-4SwqDmLtmXYiTMKHgktTP8We1SCoS47DrQ/edit?usp=sharing"",""จัดที่ดิน!AH56"")"),99)</f>
        <v>99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IFERROR(__xludf.DUMMYFUNCTION("IMPORTRANGE(""https://docs.google.com/spreadsheets/d/1XWAQStnk-4SwqDmLtmXYiTMKHgktTP8We1SCoS47DrQ/edit?usp=sharing"",""จัดที่ดิน!AI56"")"),783.24)</f>
        <v>783.24</v>
      </c>
      <c r="K378" s="497">
        <f t="shared" ca="1" si="164"/>
        <v>78.323999999999998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IFERROR(__xludf.DUMMYFUNCTION("IMPORTRANGE(""https://docs.google.com/spreadsheets/d/1XWAQStnk-4SwqDmLtmXYiTMKHgktTP8We1SCoS47DrQ/edit?usp=sharing"",""จัดที่ดิน!AJ56"")"),266)</f>
        <v>266</v>
      </c>
      <c r="K379" s="497">
        <f t="shared" ca="1" si="164"/>
        <v>120.90909090909091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IFERROR(__xludf.DUMMYFUNCTION("IMPORTRANGE(""https://docs.google.com/spreadsheets/d/1XWAQStnk-4SwqDmLtmXYiTMKHgktTP8We1SCoS47DrQ/edit?usp=sharing"",""จัดที่ดิน!AK56"")"),3585.2)</f>
        <v>3585.2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IFERROR(__xludf.DUMMYFUNCTION("IMPORTRANGE(""https://docs.google.com/spreadsheets/d/1XWAQStnk-4SwqDmLtmXYiTMKHgktTP8We1SCoS47DrQ/edit?usp=sharing"",""จัดที่ดิน!AL56"")"),272)</f>
        <v>272</v>
      </c>
      <c r="K381" s="497">
        <f t="shared" ca="1" si="164"/>
        <v>123.63636363636364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IFERROR(__xludf.DUMMYFUNCTION("IMPORTRANGE(""https://docs.google.com/spreadsheets/d/1XWAQStnk-4SwqDmLtmXYiTMKHgktTP8We1SCoS47DrQ/edit?usp=sharing"",""จัดที่ดิน!AM56"")"),3660.54999999999)</f>
        <v>3660.5499999999902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IFERROR(__xludf.DUMMYFUNCTION("IMPORTRANGE(""https://docs.google.com/spreadsheets/d/1QqKyyYR6Q21VydFLVH3TRQUabQu_ym0Zz7PgGX0-kHA/edit?usp=sharing"",""แผน!EW56"")"),60)</f>
        <v>60</v>
      </c>
      <c r="J385" s="501">
        <f ca="1">IFERROR(__xludf.DUMMYFUNCTION("IMPORTRANGE(""https://docs.google.com/spreadsheets/d/1XWAQStnk-4SwqDmLtmXYiTMKHgktTP8We1SCoS47DrQ/edit?usp=sharing"",""จัดที่ดิน!AP56"")"),0)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1107693.3500000001</v>
      </c>
      <c r="O414" s="549">
        <f ca="1">IF(L414&gt;0,N414*100/L414,0)</f>
        <v>80.018417277204776</v>
      </c>
      <c r="P414" s="549">
        <f ca="1">IF(M414&gt;0,N414*100/M414,0)</f>
        <v>80.299171848653614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57689</v>
      </c>
      <c r="O419" s="155">
        <f t="shared" ref="O419:O424" ca="1" si="185">IF(L419&gt;0,N419*100/L419,0)</f>
        <v>60.432641944269854</v>
      </c>
      <c r="P419" s="155">
        <f t="shared" ref="P419:P424" ca="1" si="186">IF(M419&gt;0,N419*100/M419,0)</f>
        <v>63.660339880821013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57689</v>
      </c>
      <c r="O421" s="93">
        <f t="shared" ca="1" si="185"/>
        <v>60.432641944269854</v>
      </c>
      <c r="P421" s="93">
        <f t="shared" ca="1" si="186"/>
        <v>63.660339880821013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57689</v>
      </c>
      <c r="O422" s="497">
        <f t="shared" ca="1" si="185"/>
        <v>60.432641944269854</v>
      </c>
      <c r="P422" s="497">
        <f t="shared" ca="1" si="186"/>
        <v>63.660339880821013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57689</v>
      </c>
      <c r="O424" s="93">
        <f t="shared" ca="1" si="185"/>
        <v>60.432641944269854</v>
      </c>
      <c r="P424" s="93">
        <f t="shared" ca="1" si="186"/>
        <v>63.660339880821013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40889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11960+4840</f>
        <v>16800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44225</v>
      </c>
      <c r="O444" s="195">
        <f t="shared" ref="O444:O449" ca="1" si="198">IF(L444&gt;0,N444*100/L444,0)</f>
        <v>64.884096244131456</v>
      </c>
      <c r="P444" s="195">
        <f t="shared" ref="P444:P449" ca="1" si="199">IF(M444&gt;0,N444*100/M444,0)</f>
        <v>64.884096244131456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44225</v>
      </c>
      <c r="O446" s="93">
        <f t="shared" ca="1" si="198"/>
        <v>64.884096244131456</v>
      </c>
      <c r="P446" s="93">
        <f t="shared" ca="1" si="199"/>
        <v>64.884096244131456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44225</v>
      </c>
      <c r="O447" s="497">
        <f t="shared" ca="1" si="198"/>
        <v>64.884096244131456</v>
      </c>
      <c r="P447" s="497">
        <f t="shared" ca="1" si="199"/>
        <v>64.884096244131456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44225</v>
      </c>
      <c r="O449" s="93">
        <f t="shared" ca="1" si="198"/>
        <v>64.884096244131456</v>
      </c>
      <c r="P449" s="93">
        <f t="shared" ca="1" si="199"/>
        <v>64.884096244131456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21740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675+3600+1210</f>
        <v>5485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294327</v>
      </c>
      <c r="O467" s="195">
        <f t="shared" ref="O467:O472" ca="1" si="207">IF(L467&gt;0,N467*100/L467,0)</f>
        <v>88.401618295023468</v>
      </c>
      <c r="P467" s="195">
        <f t="shared" ref="P467:P472" ca="1" si="208">IF(M467&gt;0,N467*100/M467,0)</f>
        <v>88.401618295023468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294327</v>
      </c>
      <c r="O469" s="93">
        <f t="shared" ca="1" si="207"/>
        <v>88.401618295023468</v>
      </c>
      <c r="P469" s="93">
        <f t="shared" ca="1" si="208"/>
        <v>88.401618295023468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294327</v>
      </c>
      <c r="O470" s="497">
        <f t="shared" ca="1" si="207"/>
        <v>88.401618295023468</v>
      </c>
      <c r="P470" s="497">
        <f t="shared" ca="1" si="208"/>
        <v>88.401618295023468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294327</v>
      </c>
      <c r="O472" s="93">
        <f t="shared" ca="1" si="207"/>
        <v>88.401618295023468</v>
      </c>
      <c r="P472" s="93">
        <f t="shared" ca="1" si="208"/>
        <v>88.401618295023468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32116+6516+1875+5115</f>
        <v>45622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15600+16000+205700</f>
        <v>237300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5080+6325</f>
        <v>11405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423680</v>
      </c>
      <c r="O523" s="195">
        <f t="shared" ref="O523:O528" ca="1" si="227">IF(L523&gt;0,N523*100/L523,0)</f>
        <v>99.115706732793711</v>
      </c>
      <c r="P523" s="195">
        <f t="shared" ref="P523:P528" ca="1" si="228">IF(M523&gt;0,N523*100/M523,0)</f>
        <v>99.115706732793711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423680</v>
      </c>
      <c r="O525" s="93">
        <f t="shared" ca="1" si="227"/>
        <v>99.115706732793711</v>
      </c>
      <c r="P525" s="93">
        <f t="shared" ca="1" si="228"/>
        <v>99.115706732793711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423680</v>
      </c>
      <c r="O526" s="497">
        <f t="shared" ca="1" si="227"/>
        <v>99.115706732793711</v>
      </c>
      <c r="P526" s="497">
        <f t="shared" ca="1" si="228"/>
        <v>99.115706732793711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423680</v>
      </c>
      <c r="O528" s="93">
        <f t="shared" ca="1" si="227"/>
        <v>99.115706732793711</v>
      </c>
      <c r="P528" s="93">
        <f t="shared" ca="1" si="228"/>
        <v>99.115706732793711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f>8300+3460+12355</f>
        <v>24115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209620.35</v>
      </c>
      <c r="O544" s="155">
        <f t="shared" ref="O544:O549" ca="1" si="237">IF(L544&gt;0,N544*100/L544,0)</f>
        <v>72.507903839501907</v>
      </c>
      <c r="P544" s="155">
        <f t="shared" ref="P544:P549" ca="1" si="238">IF(M544&gt;0,N544*100/M544,0)</f>
        <v>72.507903839501907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209620.35</v>
      </c>
      <c r="O546" s="93">
        <f t="shared" ca="1" si="237"/>
        <v>72.507903839501907</v>
      </c>
      <c r="P546" s="93">
        <f t="shared" ca="1" si="238"/>
        <v>72.507903839501907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209620.35</v>
      </c>
      <c r="O547" s="497">
        <f t="shared" ca="1" si="237"/>
        <v>72.507903839501907</v>
      </c>
      <c r="P547" s="497">
        <f t="shared" ca="1" si="238"/>
        <v>72.507903839501907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209620.35</v>
      </c>
      <c r="O549" s="93">
        <f t="shared" ca="1" si="237"/>
        <v>72.507903839501907</v>
      </c>
      <c r="P549" s="93">
        <f t="shared" ca="1" si="238"/>
        <v>72.507903839501907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74969+13000</f>
        <v>87969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54421.35+1720+18750+20000+15000+11760</f>
        <v>121651.35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3555.18</v>
      </c>
      <c r="K592" s="672">
        <f t="shared" ref="K592:K594" ca="1" si="254">IF(I592&gt;0,J592*100/I592,0)</f>
        <v>87.144881140890575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3555.18</v>
      </c>
      <c r="K593" s="411">
        <f t="shared" ca="1" si="254"/>
        <v>87.144881140890575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215</v>
      </c>
      <c r="K594" s="411">
        <f t="shared" ca="1" si="254"/>
        <v>83.657587548638134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165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165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40</v>
      </c>
      <c r="K628" s="737">
        <f ca="1">IF(I628&gt;0,J628*100/I628,0)</f>
        <v>80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78152</v>
      </c>
      <c r="O629" s="195">
        <f t="shared" ref="O629:O634" ca="1" si="264">IF(L629&gt;0,N629*100/L629,0)</f>
        <v>45.656199795530888</v>
      </c>
      <c r="P629" s="195">
        <f t="shared" ref="P629:P634" ca="1" si="265">IF(M629&gt;0,N629*100/M629,0)</f>
        <v>45.656199795530888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78152</v>
      </c>
      <c r="O631" s="93">
        <f t="shared" ca="1" si="264"/>
        <v>45.656199795530888</v>
      </c>
      <c r="P631" s="93">
        <f t="shared" ca="1" si="265"/>
        <v>45.656199795530888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78152</v>
      </c>
      <c r="O632" s="497">
        <f t="shared" ca="1" si="264"/>
        <v>45.656199795530888</v>
      </c>
      <c r="P632" s="497">
        <f t="shared" ca="1" si="265"/>
        <v>45.656199795530888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78152</v>
      </c>
      <c r="O634" s="93">
        <f t="shared" ca="1" si="264"/>
        <v>45.656199795530888</v>
      </c>
      <c r="P634" s="93">
        <f t="shared" ca="1" si="265"/>
        <v>45.656199795530888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65840+12312</f>
        <v>78152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IFERROR(__xludf.DUMMYFUNCTION("IMPORTRANGE(""https://docs.google.com/spreadsheets/d/1XWAQStnk-4SwqDmLtmXYiTMKHgktTP8We1SCoS47DrQ/edit?usp=sharing"",""จัดที่ดิน!AS56"")"),61)</f>
        <v>61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IFERROR(__xludf.DUMMYFUNCTION("IMPORTRANGE(""https://docs.google.com/spreadsheets/d/1XWAQStnk-4SwqDmLtmXYiTMKHgktTP8We1SCoS47DrQ/edit?usp=sharing"",""จัดที่ดิน!AT56"")"),37.28)</f>
        <v>37.28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IFERROR(__xludf.DUMMYFUNCTION("IMPORTRANGE(""https://docs.google.com/spreadsheets/d/1XWAQStnk-4SwqDmLtmXYiTMKHgktTP8We1SCoS47DrQ/edit?usp=sharing"",""จัดที่ดิน!AU56"")"),52)</f>
        <v>52</v>
      </c>
      <c r="K647" s="163">
        <f t="shared" ca="1" si="271"/>
        <v>104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IFERROR(__xludf.DUMMYFUNCTION("IMPORTRANGE(""https://docs.google.com/spreadsheets/d/1XWAQStnk-4SwqDmLtmXYiTMKHgktTP8We1SCoS47DrQ/edit?usp=sharing"",""จัดที่ดิน!AV56"")"),45.16)</f>
        <v>45.16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IFERROR(__xludf.DUMMYFUNCTION("IMPORTRANGE(""https://docs.google.com/spreadsheets/d/1XWAQStnk-4SwqDmLtmXYiTMKHgktTP8We1SCoS47DrQ/edit?usp=sharing"",""จัดที่ดิน!AW56"")"),43)</f>
        <v>43</v>
      </c>
      <c r="K649" s="163">
        <f t="shared" ca="1" si="271"/>
        <v>86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IFERROR(__xludf.DUMMYFUNCTION("IMPORTRANGE(""https://docs.google.com/spreadsheets/d/1XWAQStnk-4SwqDmLtmXYiTMKHgktTP8We1SCoS47DrQ/edit?usp=sharing"",""จัดที่ดิน!AX56"")"),32.8)</f>
        <v>32.799999999999997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IFERROR(__xludf.DUMMYFUNCTION("IMPORTRANGE(""https://docs.google.com/spreadsheets/d/1XWAQStnk-4SwqDmLtmXYiTMKHgktTP8We1SCoS47DrQ/edit?usp=sharing"",""จัดที่ดิน!AY56"")"),40)</f>
        <v>40</v>
      </c>
      <c r="K651" s="163">
        <f t="shared" ca="1" si="271"/>
        <v>80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IFERROR(__xludf.DUMMYFUNCTION("IMPORTRANGE(""https://docs.google.com/spreadsheets/d/1XWAQStnk-4SwqDmLtmXYiTMKHgktTP8We1SCoS47DrQ/edit?usp=sharing"",""จัดที่ดิน!AZ56"")"),32.435)</f>
        <v>32.435000000000002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IFERROR(__xludf.DUMMYFUNCTION("IMPORTRANGE(""https://docs.google.com/spreadsheets/d/19vJNZY_5yjcGF2XGBMNZRCAIB0Kwfpjp8YEOfu-bneM/edit?usp=sharing"",""งานกองทุน!F56"")"),4000000)</f>
        <v>4000000</v>
      </c>
      <c r="K821" s="497">
        <f t="shared" ref="K821:K828" ca="1" si="335">IF(I821&gt;0,J821*100/I821,0)</f>
        <v>34.572169403630078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IFERROR(__xludf.DUMMYFUNCTION("IMPORTRANGE(""https://docs.google.com/spreadsheets/d/19vJNZY_5yjcGF2XGBMNZRCAIB0Kwfpjp8YEOfu-bneM/edit?usp=sharing"",""งานกองทุน!E56"")"),81)</f>
        <v>81</v>
      </c>
      <c r="K822" s="497">
        <f t="shared" ca="1" si="335"/>
        <v>34.177215189873415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IFERROR(__xludf.DUMMYFUNCTION("IMPORTRANGE(""https://docs.google.com/spreadsheets/d/19vJNZY_5yjcGF2XGBMNZRCAIB0Kwfpjp8YEOfu-bneM/edit?usp=sharing"",""งานกองทุน!U56"")"),3040000)</f>
        <v>3040000</v>
      </c>
      <c r="K827" s="497">
        <f t="shared" ca="1" si="335"/>
        <v>30.039525691699605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IFERROR(__xludf.DUMMYFUNCTION("IMPORTRANGE(""https://docs.google.com/spreadsheets/d/19vJNZY_5yjcGF2XGBMNZRCAIB0Kwfpjp8YEOfu-bneM/edit?usp=sharing"",""งานกองทุน!T56"")"),62)</f>
        <v>62</v>
      </c>
      <c r="K828" s="502">
        <f t="shared" ca="1" si="335"/>
        <v>24.899598393574298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96"/>
      <c r="E1829" s="677"/>
      <c r="F1829" s="677"/>
      <c r="G1829" s="677"/>
      <c r="H1829" s="897"/>
      <c r="I1829" s="898"/>
      <c r="J1829" s="898"/>
      <c r="K1829" s="899"/>
      <c r="L1829" s="899"/>
      <c r="M1829" s="899"/>
      <c r="N1829" s="899"/>
      <c r="O1829" s="899"/>
      <c r="P1829" s="899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96"/>
      <c r="E1830" s="677"/>
      <c r="F1830" s="677"/>
      <c r="G1830" s="677"/>
      <c r="H1830" s="897"/>
      <c r="I1830" s="898"/>
      <c r="J1830" s="898"/>
      <c r="K1830" s="899"/>
      <c r="L1830" s="899"/>
      <c r="M1830" s="899"/>
      <c r="N1830" s="899"/>
      <c r="O1830" s="899"/>
      <c r="P1830" s="899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96"/>
      <c r="E1831" s="677"/>
      <c r="F1831" s="677"/>
      <c r="G1831" s="677"/>
      <c r="H1831" s="897"/>
      <c r="I1831" s="898"/>
      <c r="J1831" s="898"/>
      <c r="K1831" s="899"/>
      <c r="L1831" s="899"/>
      <c r="M1831" s="899"/>
      <c r="N1831" s="899"/>
      <c r="O1831" s="899"/>
      <c r="P1831" s="899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96"/>
      <c r="E1832" s="677"/>
      <c r="F1832" s="677"/>
      <c r="G1832" s="677"/>
      <c r="H1832" s="897"/>
      <c r="I1832" s="898"/>
      <c r="J1832" s="898"/>
      <c r="K1832" s="899"/>
      <c r="L1832" s="899"/>
      <c r="M1832" s="899"/>
      <c r="N1832" s="899"/>
      <c r="O1832" s="899"/>
      <c r="P1832" s="899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96"/>
      <c r="E1833" s="677"/>
      <c r="F1833" s="677"/>
      <c r="G1833" s="677"/>
      <c r="H1833" s="897"/>
      <c r="I1833" s="898"/>
      <c r="J1833" s="898"/>
      <c r="K1833" s="899"/>
      <c r="L1833" s="899"/>
      <c r="M1833" s="899"/>
      <c r="N1833" s="899"/>
      <c r="O1833" s="899"/>
      <c r="P1833" s="899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96"/>
      <c r="E1834" s="677"/>
      <c r="F1834" s="677"/>
      <c r="G1834" s="677"/>
      <c r="H1834" s="897"/>
      <c r="I1834" s="898"/>
      <c r="J1834" s="898"/>
      <c r="K1834" s="899"/>
      <c r="L1834" s="899"/>
      <c r="M1834" s="899"/>
      <c r="N1834" s="899"/>
      <c r="O1834" s="899"/>
      <c r="P1834" s="899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96"/>
      <c r="E1835" s="677"/>
      <c r="F1835" s="677"/>
      <c r="G1835" s="677"/>
      <c r="H1835" s="897"/>
      <c r="I1835" s="898"/>
      <c r="J1835" s="898"/>
      <c r="K1835" s="899"/>
      <c r="L1835" s="899"/>
      <c r="M1835" s="899"/>
      <c r="N1835" s="899"/>
      <c r="O1835" s="899"/>
      <c r="P1835" s="899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96"/>
      <c r="E1836" s="677"/>
      <c r="F1836" s="677"/>
      <c r="G1836" s="677"/>
      <c r="H1836" s="897"/>
      <c r="I1836" s="898"/>
      <c r="J1836" s="898"/>
      <c r="K1836" s="899"/>
      <c r="L1836" s="899"/>
      <c r="M1836" s="899"/>
      <c r="N1836" s="899"/>
      <c r="O1836" s="899"/>
      <c r="P1836" s="899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96"/>
      <c r="E1837" s="677"/>
      <c r="F1837" s="677"/>
      <c r="G1837" s="677"/>
      <c r="H1837" s="897"/>
      <c r="I1837" s="898"/>
      <c r="J1837" s="898"/>
      <c r="K1837" s="899"/>
      <c r="L1837" s="899"/>
      <c r="M1837" s="899"/>
      <c r="N1837" s="899"/>
      <c r="O1837" s="899"/>
      <c r="P1837" s="899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96"/>
      <c r="E1838" s="677"/>
      <c r="F1838" s="677"/>
      <c r="G1838" s="677"/>
      <c r="H1838" s="897"/>
      <c r="I1838" s="898"/>
      <c r="J1838" s="898"/>
      <c r="K1838" s="899"/>
      <c r="L1838" s="899"/>
      <c r="M1838" s="899"/>
      <c r="N1838" s="899"/>
      <c r="O1838" s="899"/>
      <c r="P1838" s="899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96"/>
      <c r="E1839" s="677"/>
      <c r="F1839" s="677"/>
      <c r="G1839" s="677"/>
      <c r="H1839" s="897"/>
      <c r="I1839" s="898"/>
      <c r="J1839" s="898"/>
      <c r="K1839" s="899"/>
      <c r="L1839" s="899"/>
      <c r="M1839" s="899"/>
      <c r="N1839" s="899"/>
      <c r="O1839" s="899"/>
      <c r="P1839" s="899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96"/>
      <c r="E1840" s="677"/>
      <c r="F1840" s="677"/>
      <c r="G1840" s="677"/>
      <c r="H1840" s="897"/>
      <c r="I1840" s="898"/>
      <c r="J1840" s="898"/>
      <c r="K1840" s="899"/>
      <c r="L1840" s="899"/>
      <c r="M1840" s="899"/>
      <c r="N1840" s="899"/>
      <c r="O1840" s="899"/>
      <c r="P1840" s="899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96"/>
      <c r="E1841" s="677"/>
      <c r="F1841" s="677"/>
      <c r="G1841" s="677"/>
      <c r="H1841" s="897"/>
      <c r="I1841" s="898"/>
      <c r="J1841" s="898"/>
      <c r="K1841" s="899"/>
      <c r="L1841" s="899"/>
      <c r="M1841" s="899"/>
      <c r="N1841" s="899"/>
      <c r="O1841" s="899"/>
      <c r="P1841" s="899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96"/>
      <c r="E1842" s="677"/>
      <c r="F1842" s="677"/>
      <c r="G1842" s="677"/>
      <c r="H1842" s="897"/>
      <c r="I1842" s="898"/>
      <c r="J1842" s="898"/>
      <c r="K1842" s="899"/>
      <c r="L1842" s="899"/>
      <c r="M1842" s="899"/>
      <c r="N1842" s="899"/>
      <c r="O1842" s="899"/>
      <c r="P1842" s="899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96"/>
      <c r="E1843" s="677"/>
      <c r="F1843" s="677"/>
      <c r="G1843" s="677"/>
      <c r="H1843" s="897"/>
      <c r="I1843" s="898"/>
      <c r="J1843" s="898"/>
      <c r="K1843" s="899"/>
      <c r="L1843" s="899"/>
      <c r="M1843" s="899"/>
      <c r="N1843" s="899"/>
      <c r="O1843" s="899"/>
      <c r="P1843" s="899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96"/>
      <c r="E1844" s="677"/>
      <c r="F1844" s="677"/>
      <c r="G1844" s="677"/>
      <c r="H1844" s="897"/>
      <c r="I1844" s="898"/>
      <c r="J1844" s="898"/>
      <c r="K1844" s="899"/>
      <c r="L1844" s="899"/>
      <c r="M1844" s="899"/>
      <c r="N1844" s="899"/>
      <c r="O1844" s="899"/>
      <c r="P1844" s="899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96"/>
      <c r="E1845" s="677"/>
      <c r="F1845" s="677"/>
      <c r="G1845" s="677"/>
      <c r="H1845" s="897"/>
      <c r="I1845" s="898"/>
      <c r="J1845" s="898"/>
      <c r="K1845" s="899"/>
      <c r="L1845" s="899"/>
      <c r="M1845" s="899"/>
      <c r="N1845" s="899"/>
      <c r="O1845" s="899"/>
      <c r="P1845" s="899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96"/>
      <c r="E1846" s="677"/>
      <c r="F1846" s="677"/>
      <c r="G1846" s="677"/>
      <c r="H1846" s="897"/>
      <c r="I1846" s="898"/>
      <c r="J1846" s="898"/>
      <c r="K1846" s="899"/>
      <c r="L1846" s="899"/>
      <c r="M1846" s="899"/>
      <c r="N1846" s="899"/>
      <c r="O1846" s="899"/>
      <c r="P1846" s="899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96"/>
      <c r="E1847" s="677"/>
      <c r="F1847" s="677"/>
      <c r="G1847" s="677"/>
      <c r="H1847" s="897"/>
      <c r="I1847" s="898"/>
      <c r="J1847" s="898"/>
      <c r="K1847" s="899"/>
      <c r="L1847" s="899"/>
      <c r="M1847" s="899"/>
      <c r="N1847" s="899"/>
      <c r="O1847" s="899"/>
      <c r="P1847" s="899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96"/>
      <c r="E1848" s="677"/>
      <c r="F1848" s="677"/>
      <c r="G1848" s="677"/>
      <c r="H1848" s="897"/>
      <c r="I1848" s="898"/>
      <c r="J1848" s="898"/>
      <c r="K1848" s="899"/>
      <c r="L1848" s="899"/>
      <c r="M1848" s="899"/>
      <c r="N1848" s="899"/>
      <c r="O1848" s="899"/>
      <c r="P1848" s="899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96"/>
      <c r="E1849" s="677"/>
      <c r="F1849" s="677"/>
      <c r="G1849" s="677"/>
      <c r="H1849" s="897"/>
      <c r="I1849" s="898"/>
      <c r="J1849" s="898"/>
      <c r="K1849" s="899"/>
      <c r="L1849" s="899"/>
      <c r="M1849" s="899"/>
      <c r="N1849" s="899"/>
      <c r="O1849" s="899"/>
      <c r="P1849" s="899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96"/>
      <c r="E1850" s="677"/>
      <c r="F1850" s="677"/>
      <c r="G1850" s="677"/>
      <c r="H1850" s="897"/>
      <c r="I1850" s="898"/>
      <c r="J1850" s="898"/>
      <c r="K1850" s="899"/>
      <c r="L1850" s="899"/>
      <c r="M1850" s="899"/>
      <c r="N1850" s="899"/>
      <c r="O1850" s="899"/>
      <c r="P1850" s="899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96"/>
      <c r="E1851" s="677"/>
      <c r="F1851" s="677"/>
      <c r="G1851" s="677"/>
      <c r="H1851" s="897"/>
      <c r="I1851" s="898"/>
      <c r="J1851" s="898"/>
      <c r="K1851" s="899"/>
      <c r="L1851" s="899"/>
      <c r="M1851" s="899"/>
      <c r="N1851" s="899"/>
      <c r="O1851" s="899"/>
      <c r="P1851" s="899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96"/>
      <c r="E1852" s="677"/>
      <c r="F1852" s="677"/>
      <c r="G1852" s="677"/>
      <c r="H1852" s="897"/>
      <c r="I1852" s="898"/>
      <c r="J1852" s="898"/>
      <c r="K1852" s="899"/>
      <c r="L1852" s="899"/>
      <c r="M1852" s="899"/>
      <c r="N1852" s="899"/>
      <c r="O1852" s="899"/>
      <c r="P1852" s="899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96"/>
      <c r="E1853" s="677"/>
      <c r="F1853" s="677"/>
      <c r="G1853" s="677"/>
      <c r="H1853" s="897"/>
      <c r="I1853" s="898"/>
      <c r="J1853" s="898"/>
      <c r="K1853" s="899"/>
      <c r="L1853" s="899"/>
      <c r="M1853" s="899"/>
      <c r="N1853" s="899"/>
      <c r="O1853" s="899"/>
      <c r="P1853" s="899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96"/>
      <c r="E1854" s="677"/>
      <c r="F1854" s="677"/>
      <c r="G1854" s="677"/>
      <c r="H1854" s="897"/>
      <c r="I1854" s="898"/>
      <c r="J1854" s="898"/>
      <c r="K1854" s="899"/>
      <c r="L1854" s="899"/>
      <c r="M1854" s="899"/>
      <c r="N1854" s="899"/>
      <c r="O1854" s="899"/>
      <c r="P1854" s="899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96"/>
      <c r="E1855" s="677"/>
      <c r="F1855" s="677"/>
      <c r="G1855" s="677"/>
      <c r="H1855" s="897"/>
      <c r="I1855" s="898"/>
      <c r="J1855" s="898"/>
      <c r="K1855" s="899"/>
      <c r="L1855" s="899"/>
      <c r="M1855" s="899"/>
      <c r="N1855" s="899"/>
      <c r="O1855" s="899"/>
      <c r="P1855" s="899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96"/>
      <c r="E1856" s="677"/>
      <c r="F1856" s="677"/>
      <c r="G1856" s="677"/>
      <c r="H1856" s="897"/>
      <c r="I1856" s="898"/>
      <c r="J1856" s="898"/>
      <c r="K1856" s="899"/>
      <c r="L1856" s="899"/>
      <c r="M1856" s="899"/>
      <c r="N1856" s="899"/>
      <c r="O1856" s="899"/>
      <c r="P1856" s="899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96"/>
      <c r="E1857" s="677"/>
      <c r="F1857" s="677"/>
      <c r="G1857" s="677"/>
      <c r="H1857" s="897"/>
      <c r="I1857" s="898"/>
      <c r="J1857" s="898"/>
      <c r="K1857" s="899"/>
      <c r="L1857" s="899"/>
      <c r="M1857" s="899"/>
      <c r="N1857" s="899"/>
      <c r="O1857" s="899"/>
      <c r="P1857" s="899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96"/>
      <c r="E1858" s="677"/>
      <c r="F1858" s="677"/>
      <c r="G1858" s="677"/>
      <c r="H1858" s="897"/>
      <c r="I1858" s="898"/>
      <c r="J1858" s="898"/>
      <c r="K1858" s="899"/>
      <c r="L1858" s="899"/>
      <c r="M1858" s="899"/>
      <c r="N1858" s="899"/>
      <c r="O1858" s="899"/>
      <c r="P1858" s="899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96"/>
      <c r="E1859" s="677"/>
      <c r="F1859" s="677"/>
      <c r="G1859" s="677"/>
      <c r="H1859" s="897"/>
      <c r="I1859" s="898"/>
      <c r="J1859" s="898"/>
      <c r="K1859" s="899"/>
      <c r="L1859" s="899"/>
      <c r="M1859" s="899"/>
      <c r="N1859" s="899"/>
      <c r="O1859" s="899"/>
      <c r="P1859" s="899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96"/>
      <c r="E1860" s="677"/>
      <c r="F1860" s="677"/>
      <c r="G1860" s="677"/>
      <c r="H1860" s="897"/>
      <c r="I1860" s="898"/>
      <c r="J1860" s="898"/>
      <c r="K1860" s="899"/>
      <c r="L1860" s="899"/>
      <c r="M1860" s="899"/>
      <c r="N1860" s="899"/>
      <c r="O1860" s="899"/>
      <c r="P1860" s="899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96"/>
      <c r="E1861" s="677"/>
      <c r="F1861" s="677"/>
      <c r="G1861" s="677"/>
      <c r="H1861" s="897"/>
      <c r="I1861" s="898"/>
      <c r="J1861" s="898"/>
      <c r="K1861" s="899"/>
      <c r="L1861" s="899"/>
      <c r="M1861" s="899"/>
      <c r="N1861" s="899"/>
      <c r="O1861" s="899"/>
      <c r="P1861" s="899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96"/>
      <c r="E1862" s="677"/>
      <c r="F1862" s="677"/>
      <c r="G1862" s="677"/>
      <c r="H1862" s="897"/>
      <c r="I1862" s="898"/>
      <c r="J1862" s="898"/>
      <c r="K1862" s="899"/>
      <c r="L1862" s="899"/>
      <c r="M1862" s="899"/>
      <c r="N1862" s="899"/>
      <c r="O1862" s="899"/>
      <c r="P1862" s="899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96"/>
      <c r="E1863" s="677"/>
      <c r="F1863" s="677"/>
      <c r="G1863" s="677"/>
      <c r="H1863" s="897"/>
      <c r="I1863" s="898"/>
      <c r="J1863" s="898"/>
      <c r="K1863" s="899"/>
      <c r="L1863" s="899"/>
      <c r="M1863" s="899"/>
      <c r="N1863" s="899"/>
      <c r="O1863" s="899"/>
      <c r="P1863" s="899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96"/>
      <c r="E1864" s="677"/>
      <c r="F1864" s="677"/>
      <c r="G1864" s="677"/>
      <c r="H1864" s="897"/>
      <c r="I1864" s="898"/>
      <c r="J1864" s="898"/>
      <c r="K1864" s="899"/>
      <c r="L1864" s="899"/>
      <c r="M1864" s="899"/>
      <c r="N1864" s="899"/>
      <c r="O1864" s="899"/>
      <c r="P1864" s="899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96"/>
      <c r="E1865" s="677"/>
      <c r="F1865" s="677"/>
      <c r="G1865" s="677"/>
      <c r="H1865" s="897"/>
      <c r="I1865" s="898"/>
      <c r="J1865" s="898"/>
      <c r="K1865" s="899"/>
      <c r="L1865" s="899"/>
      <c r="M1865" s="899"/>
      <c r="N1865" s="899"/>
      <c r="O1865" s="899"/>
      <c r="P1865" s="899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96"/>
      <c r="E1866" s="677"/>
      <c r="F1866" s="677"/>
      <c r="G1866" s="677"/>
      <c r="H1866" s="897"/>
      <c r="I1866" s="898"/>
      <c r="J1866" s="898"/>
      <c r="K1866" s="899"/>
      <c r="L1866" s="899"/>
      <c r="M1866" s="899"/>
      <c r="N1866" s="899"/>
      <c r="O1866" s="899"/>
      <c r="P1866" s="899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96"/>
      <c r="E1867" s="677"/>
      <c r="F1867" s="677"/>
      <c r="G1867" s="677"/>
      <c r="H1867" s="897"/>
      <c r="I1867" s="898"/>
      <c r="J1867" s="898"/>
      <c r="K1867" s="899"/>
      <c r="L1867" s="899"/>
      <c r="M1867" s="899"/>
      <c r="N1867" s="899"/>
      <c r="O1867" s="899"/>
      <c r="P1867" s="899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96"/>
      <c r="E1868" s="677"/>
      <c r="F1868" s="677"/>
      <c r="G1868" s="677"/>
      <c r="H1868" s="897"/>
      <c r="I1868" s="898"/>
      <c r="J1868" s="898"/>
      <c r="K1868" s="899"/>
      <c r="L1868" s="899"/>
      <c r="M1868" s="899"/>
      <c r="N1868" s="899"/>
      <c r="O1868" s="899"/>
      <c r="P1868" s="899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96"/>
      <c r="E1869" s="677"/>
      <c r="F1869" s="677"/>
      <c r="G1869" s="677"/>
      <c r="H1869" s="897"/>
      <c r="I1869" s="898"/>
      <c r="J1869" s="898"/>
      <c r="K1869" s="899"/>
      <c r="L1869" s="899"/>
      <c r="M1869" s="899"/>
      <c r="N1869" s="899"/>
      <c r="O1869" s="899"/>
      <c r="P1869" s="899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96"/>
      <c r="E1870" s="677"/>
      <c r="F1870" s="677"/>
      <c r="G1870" s="677"/>
      <c r="H1870" s="897"/>
      <c r="I1870" s="898"/>
      <c r="J1870" s="898"/>
      <c r="K1870" s="899"/>
      <c r="L1870" s="899"/>
      <c r="M1870" s="899"/>
      <c r="N1870" s="899"/>
      <c r="O1870" s="899"/>
      <c r="P1870" s="899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96"/>
      <c r="E1871" s="677"/>
      <c r="F1871" s="677"/>
      <c r="G1871" s="677"/>
      <c r="H1871" s="897"/>
      <c r="I1871" s="898"/>
      <c r="J1871" s="898"/>
      <c r="K1871" s="899"/>
      <c r="L1871" s="899"/>
      <c r="M1871" s="899"/>
      <c r="N1871" s="899"/>
      <c r="O1871" s="899"/>
      <c r="P1871" s="899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96"/>
      <c r="E1872" s="677"/>
      <c r="F1872" s="677"/>
      <c r="G1872" s="677"/>
      <c r="H1872" s="897"/>
      <c r="I1872" s="898"/>
      <c r="J1872" s="898"/>
      <c r="K1872" s="899"/>
      <c r="L1872" s="899"/>
      <c r="M1872" s="899"/>
      <c r="N1872" s="899"/>
      <c r="O1872" s="899"/>
      <c r="P1872" s="899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96"/>
      <c r="E1873" s="677"/>
      <c r="F1873" s="677"/>
      <c r="G1873" s="677"/>
      <c r="H1873" s="897"/>
      <c r="I1873" s="898"/>
      <c r="J1873" s="898"/>
      <c r="K1873" s="899"/>
      <c r="L1873" s="899"/>
      <c r="M1873" s="899"/>
      <c r="N1873" s="899"/>
      <c r="O1873" s="899"/>
      <c r="P1873" s="899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96"/>
      <c r="E1874" s="677"/>
      <c r="F1874" s="677"/>
      <c r="G1874" s="677"/>
      <c r="H1874" s="897"/>
      <c r="I1874" s="898"/>
      <c r="J1874" s="898"/>
      <c r="K1874" s="899"/>
      <c r="L1874" s="899"/>
      <c r="M1874" s="899"/>
      <c r="N1874" s="899"/>
      <c r="O1874" s="899"/>
      <c r="P1874" s="899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96"/>
      <c r="E1875" s="677"/>
      <c r="F1875" s="677"/>
      <c r="G1875" s="677"/>
      <c r="H1875" s="897"/>
      <c r="I1875" s="898"/>
      <c r="J1875" s="898"/>
      <c r="K1875" s="899"/>
      <c r="L1875" s="899"/>
      <c r="M1875" s="899"/>
      <c r="N1875" s="899"/>
      <c r="O1875" s="899"/>
      <c r="P1875" s="899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96"/>
      <c r="E1876" s="677"/>
      <c r="F1876" s="677"/>
      <c r="G1876" s="677"/>
      <c r="H1876" s="897"/>
      <c r="I1876" s="898"/>
      <c r="J1876" s="898"/>
      <c r="K1876" s="899"/>
      <c r="L1876" s="899"/>
      <c r="M1876" s="899"/>
      <c r="N1876" s="899"/>
      <c r="O1876" s="899"/>
      <c r="P1876" s="899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96"/>
      <c r="E1877" s="677"/>
      <c r="F1877" s="677"/>
      <c r="G1877" s="677"/>
      <c r="H1877" s="897"/>
      <c r="I1877" s="898"/>
      <c r="J1877" s="898"/>
      <c r="K1877" s="899"/>
      <c r="L1877" s="899"/>
      <c r="M1877" s="899"/>
      <c r="N1877" s="899"/>
      <c r="O1877" s="899"/>
      <c r="P1877" s="899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96"/>
      <c r="E1878" s="677"/>
      <c r="F1878" s="677"/>
      <c r="G1878" s="677"/>
      <c r="H1878" s="897"/>
      <c r="I1878" s="898"/>
      <c r="J1878" s="898"/>
      <c r="K1878" s="899"/>
      <c r="L1878" s="899"/>
      <c r="M1878" s="899"/>
      <c r="N1878" s="899"/>
      <c r="O1878" s="899"/>
      <c r="P1878" s="899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96"/>
      <c r="E1879" s="677"/>
      <c r="F1879" s="677"/>
      <c r="G1879" s="677"/>
      <c r="H1879" s="897"/>
      <c r="I1879" s="898"/>
      <c r="J1879" s="898"/>
      <c r="K1879" s="899"/>
      <c r="L1879" s="899"/>
      <c r="M1879" s="899"/>
      <c r="N1879" s="899"/>
      <c r="O1879" s="899"/>
      <c r="P1879" s="899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96"/>
      <c r="E1880" s="677"/>
      <c r="F1880" s="677"/>
      <c r="G1880" s="677"/>
      <c r="H1880" s="897"/>
      <c r="I1880" s="898"/>
      <c r="J1880" s="898"/>
      <c r="K1880" s="899"/>
      <c r="L1880" s="899"/>
      <c r="M1880" s="899"/>
      <c r="N1880" s="899"/>
      <c r="O1880" s="899"/>
      <c r="P1880" s="899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96"/>
      <c r="E1881" s="677"/>
      <c r="F1881" s="677"/>
      <c r="G1881" s="677"/>
      <c r="H1881" s="897"/>
      <c r="I1881" s="898"/>
      <c r="J1881" s="898"/>
      <c r="K1881" s="899"/>
      <c r="L1881" s="899"/>
      <c r="M1881" s="899"/>
      <c r="N1881" s="899"/>
      <c r="O1881" s="899"/>
      <c r="P1881" s="899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96"/>
      <c r="E1882" s="677"/>
      <c r="F1882" s="677"/>
      <c r="G1882" s="677"/>
      <c r="H1882" s="897"/>
      <c r="I1882" s="898"/>
      <c r="J1882" s="898"/>
      <c r="K1882" s="899"/>
      <c r="L1882" s="899"/>
      <c r="M1882" s="899"/>
      <c r="N1882" s="899"/>
      <c r="O1882" s="899"/>
      <c r="P1882" s="899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96"/>
      <c r="E1883" s="677"/>
      <c r="F1883" s="677"/>
      <c r="G1883" s="677"/>
      <c r="H1883" s="897"/>
      <c r="I1883" s="898"/>
      <c r="J1883" s="898"/>
      <c r="K1883" s="899"/>
      <c r="L1883" s="899"/>
      <c r="M1883" s="899"/>
      <c r="N1883" s="899"/>
      <c r="O1883" s="899"/>
      <c r="P1883" s="899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96"/>
      <c r="E1884" s="677"/>
      <c r="F1884" s="677"/>
      <c r="G1884" s="677"/>
      <c r="H1884" s="897"/>
      <c r="I1884" s="898"/>
      <c r="J1884" s="898"/>
      <c r="K1884" s="899"/>
      <c r="L1884" s="899"/>
      <c r="M1884" s="899"/>
      <c r="N1884" s="899"/>
      <c r="O1884" s="899"/>
      <c r="P1884" s="899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96"/>
      <c r="E1885" s="677"/>
      <c r="F1885" s="677"/>
      <c r="G1885" s="677"/>
      <c r="H1885" s="897"/>
      <c r="I1885" s="898"/>
      <c r="J1885" s="898"/>
      <c r="K1885" s="899"/>
      <c r="L1885" s="899"/>
      <c r="M1885" s="899"/>
      <c r="N1885" s="899"/>
      <c r="O1885" s="899"/>
      <c r="P1885" s="899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96"/>
      <c r="E1886" s="677"/>
      <c r="F1886" s="677"/>
      <c r="G1886" s="677"/>
      <c r="H1886" s="897"/>
      <c r="I1886" s="898"/>
      <c r="J1886" s="898"/>
      <c r="K1886" s="899"/>
      <c r="L1886" s="899"/>
      <c r="M1886" s="899"/>
      <c r="N1886" s="899"/>
      <c r="O1886" s="899"/>
      <c r="P1886" s="899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96"/>
      <c r="E1887" s="677"/>
      <c r="F1887" s="677"/>
      <c r="G1887" s="677"/>
      <c r="H1887" s="897"/>
      <c r="I1887" s="898"/>
      <c r="J1887" s="898"/>
      <c r="K1887" s="899"/>
      <c r="L1887" s="899"/>
      <c r="M1887" s="899"/>
      <c r="N1887" s="899"/>
      <c r="O1887" s="899"/>
      <c r="P1887" s="899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96"/>
      <c r="E1888" s="677"/>
      <c r="F1888" s="677"/>
      <c r="G1888" s="677"/>
      <c r="H1888" s="897"/>
      <c r="I1888" s="898"/>
      <c r="J1888" s="898"/>
      <c r="K1888" s="899"/>
      <c r="L1888" s="899"/>
      <c r="M1888" s="899"/>
      <c r="N1888" s="899"/>
      <c r="O1888" s="899"/>
      <c r="P1888" s="899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96"/>
      <c r="E1889" s="677"/>
      <c r="F1889" s="677"/>
      <c r="G1889" s="677"/>
      <c r="H1889" s="897"/>
      <c r="I1889" s="898"/>
      <c r="J1889" s="898"/>
      <c r="K1889" s="899"/>
      <c r="L1889" s="899"/>
      <c r="M1889" s="899"/>
      <c r="N1889" s="899"/>
      <c r="O1889" s="899"/>
      <c r="P1889" s="899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96"/>
      <c r="E1890" s="677"/>
      <c r="F1890" s="677"/>
      <c r="G1890" s="677"/>
      <c r="H1890" s="897"/>
      <c r="I1890" s="898"/>
      <c r="J1890" s="898"/>
      <c r="K1890" s="899"/>
      <c r="L1890" s="899"/>
      <c r="M1890" s="899"/>
      <c r="N1890" s="899"/>
      <c r="O1890" s="899"/>
      <c r="P1890" s="899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96"/>
      <c r="E1891" s="677"/>
      <c r="F1891" s="677"/>
      <c r="G1891" s="677"/>
      <c r="H1891" s="897"/>
      <c r="I1891" s="898"/>
      <c r="J1891" s="898"/>
      <c r="K1891" s="899"/>
      <c r="L1891" s="899"/>
      <c r="M1891" s="899"/>
      <c r="N1891" s="899"/>
      <c r="O1891" s="899"/>
      <c r="P1891" s="899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96"/>
      <c r="E1892" s="677"/>
      <c r="F1892" s="677"/>
      <c r="G1892" s="677"/>
      <c r="H1892" s="897"/>
      <c r="I1892" s="898"/>
      <c r="J1892" s="898"/>
      <c r="K1892" s="899"/>
      <c r="L1892" s="899"/>
      <c r="M1892" s="899"/>
      <c r="N1892" s="899"/>
      <c r="O1892" s="899"/>
      <c r="P1892" s="899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96"/>
      <c r="E1893" s="677"/>
      <c r="F1893" s="677"/>
      <c r="G1893" s="677"/>
      <c r="H1893" s="897"/>
      <c r="I1893" s="898"/>
      <c r="J1893" s="898"/>
      <c r="K1893" s="899"/>
      <c r="L1893" s="899"/>
      <c r="M1893" s="899"/>
      <c r="N1893" s="899"/>
      <c r="O1893" s="899"/>
      <c r="P1893" s="899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96"/>
      <c r="E1894" s="677"/>
      <c r="F1894" s="677"/>
      <c r="G1894" s="677"/>
      <c r="H1894" s="897"/>
      <c r="I1894" s="898"/>
      <c r="J1894" s="898"/>
      <c r="K1894" s="899"/>
      <c r="L1894" s="899"/>
      <c r="M1894" s="899"/>
      <c r="N1894" s="899"/>
      <c r="O1894" s="899"/>
      <c r="P1894" s="899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96"/>
      <c r="E1895" s="677"/>
      <c r="F1895" s="677"/>
      <c r="G1895" s="677"/>
      <c r="H1895" s="897"/>
      <c r="I1895" s="898"/>
      <c r="J1895" s="898"/>
      <c r="K1895" s="899"/>
      <c r="L1895" s="899"/>
      <c r="M1895" s="899"/>
      <c r="N1895" s="899"/>
      <c r="O1895" s="899"/>
      <c r="P1895" s="899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96"/>
      <c r="E1896" s="677"/>
      <c r="F1896" s="677"/>
      <c r="G1896" s="677"/>
      <c r="H1896" s="897"/>
      <c r="I1896" s="898"/>
      <c r="J1896" s="898"/>
      <c r="K1896" s="899"/>
      <c r="L1896" s="899"/>
      <c r="M1896" s="899"/>
      <c r="N1896" s="899"/>
      <c r="O1896" s="899"/>
      <c r="P1896" s="899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96"/>
      <c r="E1897" s="677"/>
      <c r="F1897" s="677"/>
      <c r="G1897" s="677"/>
      <c r="H1897" s="897"/>
      <c r="I1897" s="898"/>
      <c r="J1897" s="898"/>
      <c r="K1897" s="899"/>
      <c r="L1897" s="899"/>
      <c r="M1897" s="899"/>
      <c r="N1897" s="899"/>
      <c r="O1897" s="899"/>
      <c r="P1897" s="899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96"/>
      <c r="E1898" s="677"/>
      <c r="F1898" s="677"/>
      <c r="G1898" s="677"/>
      <c r="H1898" s="897"/>
      <c r="I1898" s="898"/>
      <c r="J1898" s="898"/>
      <c r="K1898" s="899"/>
      <c r="L1898" s="899"/>
      <c r="M1898" s="899"/>
      <c r="N1898" s="899"/>
      <c r="O1898" s="899"/>
      <c r="P1898" s="899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96"/>
      <c r="E1899" s="677"/>
      <c r="F1899" s="677"/>
      <c r="G1899" s="677"/>
      <c r="H1899" s="897"/>
      <c r="I1899" s="898"/>
      <c r="J1899" s="898"/>
      <c r="K1899" s="899"/>
      <c r="L1899" s="899"/>
      <c r="M1899" s="899"/>
      <c r="N1899" s="899"/>
      <c r="O1899" s="899"/>
      <c r="P1899" s="899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96"/>
      <c r="E1900" s="677"/>
      <c r="F1900" s="677"/>
      <c r="G1900" s="677"/>
      <c r="H1900" s="897"/>
      <c r="I1900" s="898"/>
      <c r="J1900" s="898"/>
      <c r="K1900" s="899"/>
      <c r="L1900" s="899"/>
      <c r="M1900" s="899"/>
      <c r="N1900" s="899"/>
      <c r="O1900" s="899"/>
      <c r="P1900" s="899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96"/>
      <c r="E1901" s="677"/>
      <c r="F1901" s="677"/>
      <c r="G1901" s="677"/>
      <c r="H1901" s="897"/>
      <c r="I1901" s="898"/>
      <c r="J1901" s="898"/>
      <c r="K1901" s="899"/>
      <c r="L1901" s="899"/>
      <c r="M1901" s="899"/>
      <c r="N1901" s="899"/>
      <c r="O1901" s="899"/>
      <c r="P1901" s="899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96"/>
      <c r="E1902" s="677"/>
      <c r="F1902" s="677"/>
      <c r="G1902" s="677"/>
      <c r="H1902" s="897"/>
      <c r="I1902" s="898"/>
      <c r="J1902" s="898"/>
      <c r="K1902" s="899"/>
      <c r="L1902" s="899"/>
      <c r="M1902" s="899"/>
      <c r="N1902" s="899"/>
      <c r="O1902" s="899"/>
      <c r="P1902" s="899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96"/>
      <c r="E1903" s="677"/>
      <c r="F1903" s="677"/>
      <c r="G1903" s="677"/>
      <c r="H1903" s="897"/>
      <c r="I1903" s="898"/>
      <c r="J1903" s="898"/>
      <c r="K1903" s="899"/>
      <c r="L1903" s="899"/>
      <c r="M1903" s="899"/>
      <c r="N1903" s="899"/>
      <c r="O1903" s="899"/>
      <c r="P1903" s="899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96"/>
      <c r="E1904" s="677"/>
      <c r="F1904" s="677"/>
      <c r="G1904" s="677"/>
      <c r="H1904" s="897"/>
      <c r="I1904" s="898"/>
      <c r="J1904" s="898"/>
      <c r="K1904" s="899"/>
      <c r="L1904" s="899"/>
      <c r="M1904" s="899"/>
      <c r="N1904" s="899"/>
      <c r="O1904" s="899"/>
      <c r="P1904" s="899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96"/>
      <c r="E1905" s="677"/>
      <c r="F1905" s="677"/>
      <c r="G1905" s="677"/>
      <c r="H1905" s="897"/>
      <c r="I1905" s="898"/>
      <c r="J1905" s="898"/>
      <c r="K1905" s="899"/>
      <c r="L1905" s="899"/>
      <c r="M1905" s="899"/>
      <c r="N1905" s="899"/>
      <c r="O1905" s="899"/>
      <c r="P1905" s="899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96"/>
      <c r="E1906" s="677"/>
      <c r="F1906" s="677"/>
      <c r="G1906" s="677"/>
      <c r="H1906" s="897"/>
      <c r="I1906" s="898"/>
      <c r="J1906" s="898"/>
      <c r="K1906" s="899"/>
      <c r="L1906" s="899"/>
      <c r="M1906" s="899"/>
      <c r="N1906" s="899"/>
      <c r="O1906" s="899"/>
      <c r="P1906" s="899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96"/>
      <c r="E1907" s="677"/>
      <c r="F1907" s="677"/>
      <c r="G1907" s="677"/>
      <c r="H1907" s="897"/>
      <c r="I1907" s="898"/>
      <c r="J1907" s="898"/>
      <c r="K1907" s="899"/>
      <c r="L1907" s="899"/>
      <c r="M1907" s="899"/>
      <c r="N1907" s="899"/>
      <c r="O1907" s="899"/>
      <c r="P1907" s="899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96"/>
      <c r="E1908" s="677"/>
      <c r="F1908" s="677"/>
      <c r="G1908" s="677"/>
      <c r="H1908" s="897"/>
      <c r="I1908" s="898"/>
      <c r="J1908" s="898"/>
      <c r="K1908" s="899"/>
      <c r="L1908" s="899"/>
      <c r="M1908" s="899"/>
      <c r="N1908" s="899"/>
      <c r="O1908" s="899"/>
      <c r="P1908" s="899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96"/>
      <c r="E1909" s="677"/>
      <c r="F1909" s="677"/>
      <c r="G1909" s="677"/>
      <c r="H1909" s="897"/>
      <c r="I1909" s="898"/>
      <c r="J1909" s="898"/>
      <c r="K1909" s="899"/>
      <c r="L1909" s="899"/>
      <c r="M1909" s="899"/>
      <c r="N1909" s="899"/>
      <c r="O1909" s="899"/>
      <c r="P1909" s="899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96"/>
      <c r="E1910" s="677"/>
      <c r="F1910" s="677"/>
      <c r="G1910" s="677"/>
      <c r="H1910" s="897"/>
      <c r="I1910" s="898"/>
      <c r="J1910" s="898"/>
      <c r="K1910" s="899"/>
      <c r="L1910" s="899"/>
      <c r="M1910" s="899"/>
      <c r="N1910" s="899"/>
      <c r="O1910" s="899"/>
      <c r="P1910" s="899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96"/>
      <c r="E1911" s="677"/>
      <c r="F1911" s="677"/>
      <c r="G1911" s="677"/>
      <c r="H1911" s="897"/>
      <c r="I1911" s="898"/>
      <c r="J1911" s="898"/>
      <c r="K1911" s="899"/>
      <c r="L1911" s="899"/>
      <c r="M1911" s="899"/>
      <c r="N1911" s="899"/>
      <c r="O1911" s="899"/>
      <c r="P1911" s="899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96"/>
      <c r="E1912" s="677"/>
      <c r="F1912" s="677"/>
      <c r="G1912" s="677"/>
      <c r="H1912" s="897"/>
      <c r="I1912" s="898"/>
      <c r="J1912" s="898"/>
      <c r="K1912" s="899"/>
      <c r="L1912" s="899"/>
      <c r="M1912" s="899"/>
      <c r="N1912" s="899"/>
      <c r="O1912" s="899"/>
      <c r="P1912" s="899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96"/>
      <c r="E1913" s="677"/>
      <c r="F1913" s="677"/>
      <c r="G1913" s="677"/>
      <c r="H1913" s="897"/>
      <c r="I1913" s="898"/>
      <c r="J1913" s="898"/>
      <c r="K1913" s="899"/>
      <c r="L1913" s="899"/>
      <c r="M1913" s="899"/>
      <c r="N1913" s="899"/>
      <c r="O1913" s="899"/>
      <c r="P1913" s="899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96"/>
      <c r="E1914" s="677"/>
      <c r="F1914" s="677"/>
      <c r="G1914" s="677"/>
      <c r="H1914" s="897"/>
      <c r="I1914" s="898"/>
      <c r="J1914" s="898"/>
      <c r="K1914" s="899"/>
      <c r="L1914" s="899"/>
      <c r="M1914" s="899"/>
      <c r="N1914" s="899"/>
      <c r="O1914" s="899"/>
      <c r="P1914" s="899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96"/>
      <c r="E1915" s="677"/>
      <c r="F1915" s="677"/>
      <c r="G1915" s="677"/>
      <c r="H1915" s="897"/>
      <c r="I1915" s="898"/>
      <c r="J1915" s="898"/>
      <c r="K1915" s="899"/>
      <c r="L1915" s="899"/>
      <c r="M1915" s="899"/>
      <c r="N1915" s="899"/>
      <c r="O1915" s="899"/>
      <c r="P1915" s="899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96"/>
      <c r="E1916" s="677"/>
      <c r="F1916" s="677"/>
      <c r="G1916" s="677"/>
      <c r="H1916" s="897"/>
      <c r="I1916" s="898"/>
      <c r="J1916" s="898"/>
      <c r="K1916" s="899"/>
      <c r="L1916" s="899"/>
      <c r="M1916" s="899"/>
      <c r="N1916" s="899"/>
      <c r="O1916" s="899"/>
      <c r="P1916" s="899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96"/>
      <c r="E1917" s="677"/>
      <c r="F1917" s="677"/>
      <c r="G1917" s="677"/>
      <c r="H1917" s="897"/>
      <c r="I1917" s="898"/>
      <c r="J1917" s="898"/>
      <c r="K1917" s="899"/>
      <c r="L1917" s="899"/>
      <c r="M1917" s="899"/>
      <c r="N1917" s="899"/>
      <c r="O1917" s="899"/>
      <c r="P1917" s="899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96"/>
      <c r="E1918" s="677"/>
      <c r="F1918" s="677"/>
      <c r="G1918" s="677"/>
      <c r="H1918" s="897"/>
      <c r="I1918" s="898"/>
      <c r="J1918" s="898"/>
      <c r="K1918" s="899"/>
      <c r="L1918" s="899"/>
      <c r="M1918" s="899"/>
      <c r="N1918" s="899"/>
      <c r="O1918" s="899"/>
      <c r="P1918" s="899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96"/>
      <c r="E1919" s="677"/>
      <c r="F1919" s="677"/>
      <c r="G1919" s="677"/>
      <c r="H1919" s="897"/>
      <c r="I1919" s="898"/>
      <c r="J1919" s="898"/>
      <c r="K1919" s="899"/>
      <c r="L1919" s="899"/>
      <c r="M1919" s="899"/>
      <c r="N1919" s="899"/>
      <c r="O1919" s="899"/>
      <c r="P1919" s="899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96"/>
      <c r="E1920" s="677"/>
      <c r="F1920" s="677"/>
      <c r="G1920" s="677"/>
      <c r="H1920" s="897"/>
      <c r="I1920" s="898"/>
      <c r="J1920" s="898"/>
      <c r="K1920" s="899"/>
      <c r="L1920" s="899"/>
      <c r="M1920" s="899"/>
      <c r="N1920" s="899"/>
      <c r="O1920" s="899"/>
      <c r="P1920" s="899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96"/>
      <c r="E1921" s="677"/>
      <c r="F1921" s="677"/>
      <c r="G1921" s="677"/>
      <c r="H1921" s="897"/>
      <c r="I1921" s="898"/>
      <c r="J1921" s="898"/>
      <c r="K1921" s="899"/>
      <c r="L1921" s="899"/>
      <c r="M1921" s="899"/>
      <c r="N1921" s="899"/>
      <c r="O1921" s="899"/>
      <c r="P1921" s="899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96"/>
      <c r="E1922" s="677"/>
      <c r="F1922" s="677"/>
      <c r="G1922" s="677"/>
      <c r="H1922" s="897"/>
      <c r="I1922" s="898"/>
      <c r="J1922" s="898"/>
      <c r="K1922" s="899"/>
      <c r="L1922" s="899"/>
      <c r="M1922" s="899"/>
      <c r="N1922" s="899"/>
      <c r="O1922" s="899"/>
      <c r="P1922" s="899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96"/>
      <c r="E1923" s="677"/>
      <c r="F1923" s="677"/>
      <c r="G1923" s="677"/>
      <c r="H1923" s="897"/>
      <c r="I1923" s="898"/>
      <c r="J1923" s="898"/>
      <c r="K1923" s="899"/>
      <c r="L1923" s="899"/>
      <c r="M1923" s="899"/>
      <c r="N1923" s="899"/>
      <c r="O1923" s="899"/>
      <c r="P1923" s="899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96"/>
      <c r="E1924" s="677"/>
      <c r="F1924" s="677"/>
      <c r="G1924" s="677"/>
      <c r="H1924" s="897"/>
      <c r="I1924" s="898"/>
      <c r="J1924" s="898"/>
      <c r="K1924" s="899"/>
      <c r="L1924" s="899"/>
      <c r="M1924" s="899"/>
      <c r="N1924" s="899"/>
      <c r="O1924" s="899"/>
      <c r="P1924" s="899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96"/>
      <c r="E1925" s="677"/>
      <c r="F1925" s="677"/>
      <c r="G1925" s="677"/>
      <c r="H1925" s="897"/>
      <c r="I1925" s="898"/>
      <c r="J1925" s="898"/>
      <c r="K1925" s="899"/>
      <c r="L1925" s="899"/>
      <c r="M1925" s="899"/>
      <c r="N1925" s="899"/>
      <c r="O1925" s="899"/>
      <c r="P1925" s="899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96"/>
      <c r="E1926" s="677"/>
      <c r="F1926" s="677"/>
      <c r="G1926" s="677"/>
      <c r="H1926" s="897"/>
      <c r="I1926" s="898"/>
      <c r="J1926" s="898"/>
      <c r="K1926" s="899"/>
      <c r="L1926" s="899"/>
      <c r="M1926" s="899"/>
      <c r="N1926" s="899"/>
      <c r="O1926" s="899"/>
      <c r="P1926" s="899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96"/>
      <c r="E1927" s="677"/>
      <c r="F1927" s="677"/>
      <c r="G1927" s="677"/>
      <c r="H1927" s="897"/>
      <c r="I1927" s="898"/>
      <c r="J1927" s="898"/>
      <c r="K1927" s="899"/>
      <c r="L1927" s="899"/>
      <c r="M1927" s="899"/>
      <c r="N1927" s="899"/>
      <c r="O1927" s="899"/>
      <c r="P1927" s="899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96"/>
      <c r="E1928" s="677"/>
      <c r="F1928" s="677"/>
      <c r="G1928" s="677"/>
      <c r="H1928" s="897"/>
      <c r="I1928" s="898"/>
      <c r="J1928" s="898"/>
      <c r="K1928" s="899"/>
      <c r="L1928" s="899"/>
      <c r="M1928" s="899"/>
      <c r="N1928" s="899"/>
      <c r="O1928" s="899"/>
      <c r="P1928" s="899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96"/>
      <c r="E1929" s="677"/>
      <c r="F1929" s="677"/>
      <c r="G1929" s="677"/>
      <c r="H1929" s="897"/>
      <c r="I1929" s="898"/>
      <c r="J1929" s="898"/>
      <c r="K1929" s="899"/>
      <c r="L1929" s="899"/>
      <c r="M1929" s="899"/>
      <c r="N1929" s="899"/>
      <c r="O1929" s="899"/>
      <c r="P1929" s="899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96"/>
      <c r="E1930" s="677"/>
      <c r="F1930" s="677"/>
      <c r="G1930" s="677"/>
      <c r="H1930" s="897"/>
      <c r="I1930" s="898"/>
      <c r="J1930" s="898"/>
      <c r="K1930" s="899"/>
      <c r="L1930" s="899"/>
      <c r="M1930" s="899"/>
      <c r="N1930" s="899"/>
      <c r="O1930" s="899"/>
      <c r="P1930" s="899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96"/>
      <c r="E1931" s="677"/>
      <c r="F1931" s="677"/>
      <c r="G1931" s="677"/>
      <c r="H1931" s="897"/>
      <c r="I1931" s="898"/>
      <c r="J1931" s="898"/>
      <c r="K1931" s="899"/>
      <c r="L1931" s="899"/>
      <c r="M1931" s="899"/>
      <c r="N1931" s="899"/>
      <c r="O1931" s="899"/>
      <c r="P1931" s="899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96"/>
      <c r="E1932" s="677"/>
      <c r="F1932" s="677"/>
      <c r="G1932" s="677"/>
      <c r="H1932" s="897"/>
      <c r="I1932" s="898"/>
      <c r="J1932" s="898"/>
      <c r="K1932" s="899"/>
      <c r="L1932" s="899"/>
      <c r="M1932" s="899"/>
      <c r="N1932" s="899"/>
      <c r="O1932" s="899"/>
      <c r="P1932" s="899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96"/>
      <c r="E1933" s="677"/>
      <c r="F1933" s="677"/>
      <c r="G1933" s="677"/>
      <c r="H1933" s="897"/>
      <c r="I1933" s="898"/>
      <c r="J1933" s="898"/>
      <c r="K1933" s="899"/>
      <c r="L1933" s="899"/>
      <c r="M1933" s="899"/>
      <c r="N1933" s="899"/>
      <c r="O1933" s="899"/>
      <c r="P1933" s="899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96"/>
      <c r="E1934" s="677"/>
      <c r="F1934" s="677"/>
      <c r="G1934" s="677"/>
      <c r="H1934" s="897"/>
      <c r="I1934" s="898"/>
      <c r="J1934" s="898"/>
      <c r="K1934" s="899"/>
      <c r="L1934" s="899"/>
      <c r="M1934" s="899"/>
      <c r="N1934" s="899"/>
      <c r="O1934" s="899"/>
      <c r="P1934" s="899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96"/>
      <c r="E1935" s="677"/>
      <c r="F1935" s="677"/>
      <c r="G1935" s="677"/>
      <c r="H1935" s="897"/>
      <c r="I1935" s="898"/>
      <c r="J1935" s="898"/>
      <c r="K1935" s="899"/>
      <c r="L1935" s="899"/>
      <c r="M1935" s="899"/>
      <c r="N1935" s="899"/>
      <c r="O1935" s="899"/>
      <c r="P1935" s="899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96"/>
      <c r="E1936" s="677"/>
      <c r="F1936" s="677"/>
      <c r="G1936" s="677"/>
      <c r="H1936" s="897"/>
      <c r="I1936" s="898"/>
      <c r="J1936" s="898"/>
      <c r="K1936" s="899"/>
      <c r="L1936" s="899"/>
      <c r="M1936" s="899"/>
      <c r="N1936" s="899"/>
      <c r="O1936" s="899"/>
      <c r="P1936" s="899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96"/>
      <c r="E1937" s="677"/>
      <c r="F1937" s="677"/>
      <c r="G1937" s="677"/>
      <c r="H1937" s="897"/>
      <c r="I1937" s="898"/>
      <c r="J1937" s="898"/>
      <c r="K1937" s="899"/>
      <c r="L1937" s="899"/>
      <c r="M1937" s="899"/>
      <c r="N1937" s="899"/>
      <c r="O1937" s="899"/>
      <c r="P1937" s="899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96"/>
      <c r="E1938" s="677"/>
      <c r="F1938" s="677"/>
      <c r="G1938" s="677"/>
      <c r="H1938" s="897"/>
      <c r="I1938" s="898"/>
      <c r="J1938" s="898"/>
      <c r="K1938" s="899"/>
      <c r="L1938" s="899"/>
      <c r="M1938" s="899"/>
      <c r="N1938" s="899"/>
      <c r="O1938" s="899"/>
      <c r="P1938" s="899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96"/>
      <c r="E1939" s="677"/>
      <c r="F1939" s="677"/>
      <c r="G1939" s="677"/>
      <c r="H1939" s="897"/>
      <c r="I1939" s="898"/>
      <c r="J1939" s="898"/>
      <c r="K1939" s="899"/>
      <c r="L1939" s="899"/>
      <c r="M1939" s="899"/>
      <c r="N1939" s="899"/>
      <c r="O1939" s="899"/>
      <c r="P1939" s="899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96"/>
      <c r="E1940" s="677"/>
      <c r="F1940" s="677"/>
      <c r="G1940" s="677"/>
      <c r="H1940" s="897"/>
      <c r="I1940" s="898"/>
      <c r="J1940" s="898"/>
      <c r="K1940" s="899"/>
      <c r="L1940" s="899"/>
      <c r="M1940" s="899"/>
      <c r="N1940" s="899"/>
      <c r="O1940" s="899"/>
      <c r="P1940" s="899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96"/>
      <c r="E1941" s="677"/>
      <c r="F1941" s="677"/>
      <c r="G1941" s="677"/>
      <c r="H1941" s="897"/>
      <c r="I1941" s="898"/>
      <c r="J1941" s="898"/>
      <c r="K1941" s="899"/>
      <c r="L1941" s="899"/>
      <c r="M1941" s="899"/>
      <c r="N1941" s="899"/>
      <c r="O1941" s="899"/>
      <c r="P1941" s="899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96"/>
      <c r="E1942" s="677"/>
      <c r="F1942" s="677"/>
      <c r="G1942" s="677"/>
      <c r="H1942" s="897"/>
      <c r="I1942" s="898"/>
      <c r="J1942" s="898"/>
      <c r="K1942" s="899"/>
      <c r="L1942" s="899"/>
      <c r="M1942" s="899"/>
      <c r="N1942" s="899"/>
      <c r="O1942" s="899"/>
      <c r="P1942" s="899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96"/>
      <c r="E1943" s="677"/>
      <c r="F1943" s="677"/>
      <c r="G1943" s="677"/>
      <c r="H1943" s="897"/>
      <c r="I1943" s="898"/>
      <c r="J1943" s="898"/>
      <c r="K1943" s="899"/>
      <c r="L1943" s="899"/>
      <c r="M1943" s="899"/>
      <c r="N1943" s="899"/>
      <c r="O1943" s="899"/>
      <c r="P1943" s="899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96"/>
      <c r="E1944" s="677"/>
      <c r="F1944" s="677"/>
      <c r="G1944" s="677"/>
      <c r="H1944" s="897"/>
      <c r="I1944" s="898"/>
      <c r="J1944" s="898"/>
      <c r="K1944" s="899"/>
      <c r="L1944" s="899"/>
      <c r="M1944" s="899"/>
      <c r="N1944" s="899"/>
      <c r="O1944" s="899"/>
      <c r="P1944" s="899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96"/>
      <c r="E1945" s="677"/>
      <c r="F1945" s="677"/>
      <c r="G1945" s="677"/>
      <c r="H1945" s="897"/>
      <c r="I1945" s="898"/>
      <c r="J1945" s="898"/>
      <c r="K1945" s="899"/>
      <c r="L1945" s="899"/>
      <c r="M1945" s="899"/>
      <c r="N1945" s="899"/>
      <c r="O1945" s="899"/>
      <c r="P1945" s="899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96"/>
      <c r="E1946" s="677"/>
      <c r="F1946" s="677"/>
      <c r="G1946" s="677"/>
      <c r="H1946" s="897"/>
      <c r="I1946" s="898"/>
      <c r="J1946" s="898"/>
      <c r="K1946" s="899"/>
      <c r="L1946" s="899"/>
      <c r="M1946" s="899"/>
      <c r="N1946" s="899"/>
      <c r="O1946" s="899"/>
      <c r="P1946" s="899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96"/>
      <c r="E1947" s="677"/>
      <c r="F1947" s="677"/>
      <c r="G1947" s="677"/>
      <c r="H1947" s="897"/>
      <c r="I1947" s="898"/>
      <c r="J1947" s="898"/>
      <c r="K1947" s="899"/>
      <c r="L1947" s="899"/>
      <c r="M1947" s="899"/>
      <c r="N1947" s="899"/>
      <c r="O1947" s="899"/>
      <c r="P1947" s="899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96"/>
      <c r="E1948" s="677"/>
      <c r="F1948" s="677"/>
      <c r="G1948" s="677"/>
      <c r="H1948" s="897"/>
      <c r="I1948" s="898"/>
      <c r="J1948" s="898"/>
      <c r="K1948" s="899"/>
      <c r="L1948" s="899"/>
      <c r="M1948" s="899"/>
      <c r="N1948" s="899"/>
      <c r="O1948" s="899"/>
      <c r="P1948" s="899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96"/>
      <c r="E1949" s="677"/>
      <c r="F1949" s="677"/>
      <c r="G1949" s="677"/>
      <c r="H1949" s="897"/>
      <c r="I1949" s="898"/>
      <c r="J1949" s="898"/>
      <c r="K1949" s="899"/>
      <c r="L1949" s="899"/>
      <c r="M1949" s="899"/>
      <c r="N1949" s="899"/>
      <c r="O1949" s="899"/>
      <c r="P1949" s="899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96"/>
      <c r="E1950" s="677"/>
      <c r="F1950" s="677"/>
      <c r="G1950" s="677"/>
      <c r="H1950" s="897"/>
      <c r="I1950" s="898"/>
      <c r="J1950" s="898"/>
      <c r="K1950" s="899"/>
      <c r="L1950" s="899"/>
      <c r="M1950" s="899"/>
      <c r="N1950" s="899"/>
      <c r="O1950" s="899"/>
      <c r="P1950" s="899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96"/>
      <c r="E1951" s="677"/>
      <c r="F1951" s="677"/>
      <c r="G1951" s="677"/>
      <c r="H1951" s="897"/>
      <c r="I1951" s="898"/>
      <c r="J1951" s="898"/>
      <c r="K1951" s="899"/>
      <c r="L1951" s="899"/>
      <c r="M1951" s="899"/>
      <c r="N1951" s="899"/>
      <c r="O1951" s="899"/>
      <c r="P1951" s="899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96"/>
      <c r="E1952" s="677"/>
      <c r="F1952" s="677"/>
      <c r="G1952" s="677"/>
      <c r="H1952" s="897"/>
      <c r="I1952" s="898"/>
      <c r="J1952" s="898"/>
      <c r="K1952" s="899"/>
      <c r="L1952" s="899"/>
      <c r="M1952" s="899"/>
      <c r="N1952" s="899"/>
      <c r="O1952" s="899"/>
      <c r="P1952" s="899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96"/>
      <c r="E1953" s="677"/>
      <c r="F1953" s="677"/>
      <c r="G1953" s="677"/>
      <c r="H1953" s="897"/>
      <c r="I1953" s="898"/>
      <c r="J1953" s="898"/>
      <c r="K1953" s="899"/>
      <c r="L1953" s="899"/>
      <c r="M1953" s="899"/>
      <c r="N1953" s="899"/>
      <c r="O1953" s="899"/>
      <c r="P1953" s="899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96"/>
      <c r="E1954" s="677"/>
      <c r="F1954" s="677"/>
      <c r="G1954" s="677"/>
      <c r="H1954" s="897"/>
      <c r="I1954" s="898"/>
      <c r="J1954" s="898"/>
      <c r="K1954" s="899"/>
      <c r="L1954" s="899"/>
      <c r="M1954" s="899"/>
      <c r="N1954" s="899"/>
      <c r="O1954" s="899"/>
      <c r="P1954" s="899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96"/>
      <c r="E1955" s="677"/>
      <c r="F1955" s="677"/>
      <c r="G1955" s="677"/>
      <c r="H1955" s="897"/>
      <c r="I1955" s="898"/>
      <c r="J1955" s="898"/>
      <c r="K1955" s="899"/>
      <c r="L1955" s="899"/>
      <c r="M1955" s="899"/>
      <c r="N1955" s="899"/>
      <c r="O1955" s="899"/>
      <c r="P1955" s="899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96"/>
      <c r="E1956" s="677"/>
      <c r="F1956" s="677"/>
      <c r="G1956" s="677"/>
      <c r="H1956" s="897"/>
      <c r="I1956" s="898"/>
      <c r="J1956" s="898"/>
      <c r="K1956" s="899"/>
      <c r="L1956" s="899"/>
      <c r="M1956" s="899"/>
      <c r="N1956" s="899"/>
      <c r="O1956" s="899"/>
      <c r="P1956" s="899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96"/>
      <c r="E1957" s="677"/>
      <c r="F1957" s="677"/>
      <c r="G1957" s="677"/>
      <c r="H1957" s="897"/>
      <c r="I1957" s="898"/>
      <c r="J1957" s="898"/>
      <c r="K1957" s="899"/>
      <c r="L1957" s="899"/>
      <c r="M1957" s="899"/>
      <c r="N1957" s="899"/>
      <c r="O1957" s="899"/>
      <c r="P1957" s="899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96"/>
      <c r="E1958" s="677"/>
      <c r="F1958" s="677"/>
      <c r="G1958" s="677"/>
      <c r="H1958" s="897"/>
      <c r="I1958" s="898"/>
      <c r="J1958" s="898"/>
      <c r="K1958" s="899"/>
      <c r="L1958" s="899"/>
      <c r="M1958" s="899"/>
      <c r="N1958" s="899"/>
      <c r="O1958" s="899"/>
      <c r="P1958" s="899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96"/>
      <c r="E1959" s="677"/>
      <c r="F1959" s="677"/>
      <c r="G1959" s="677"/>
      <c r="H1959" s="897"/>
      <c r="I1959" s="898"/>
      <c r="J1959" s="898"/>
      <c r="K1959" s="899"/>
      <c r="L1959" s="899"/>
      <c r="M1959" s="899"/>
      <c r="N1959" s="899"/>
      <c r="O1959" s="899"/>
      <c r="P1959" s="899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96"/>
      <c r="E1960" s="677"/>
      <c r="F1960" s="677"/>
      <c r="G1960" s="677"/>
      <c r="H1960" s="897"/>
      <c r="I1960" s="898"/>
      <c r="J1960" s="898"/>
      <c r="K1960" s="899"/>
      <c r="L1960" s="899"/>
      <c r="M1960" s="899"/>
      <c r="N1960" s="899"/>
      <c r="O1960" s="899"/>
      <c r="P1960" s="899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96"/>
      <c r="E1961" s="677"/>
      <c r="F1961" s="677"/>
      <c r="G1961" s="677"/>
      <c r="H1961" s="897"/>
      <c r="I1961" s="898"/>
      <c r="J1961" s="898"/>
      <c r="K1961" s="899"/>
      <c r="L1961" s="899"/>
      <c r="M1961" s="899"/>
      <c r="N1961" s="899"/>
      <c r="O1961" s="899"/>
      <c r="P1961" s="899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96"/>
      <c r="E1962" s="677"/>
      <c r="F1962" s="677"/>
      <c r="G1962" s="677"/>
      <c r="H1962" s="897"/>
      <c r="I1962" s="898"/>
      <c r="J1962" s="898"/>
      <c r="K1962" s="899"/>
      <c r="L1962" s="899"/>
      <c r="M1962" s="899"/>
      <c r="N1962" s="899"/>
      <c r="O1962" s="899"/>
      <c r="P1962" s="899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96"/>
      <c r="E1963" s="677"/>
      <c r="F1963" s="677"/>
      <c r="G1963" s="677"/>
      <c r="H1963" s="897"/>
      <c r="I1963" s="898"/>
      <c r="J1963" s="898"/>
      <c r="K1963" s="899"/>
      <c r="L1963" s="899"/>
      <c r="M1963" s="899"/>
      <c r="N1963" s="899"/>
      <c r="O1963" s="899"/>
      <c r="P1963" s="899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96"/>
      <c r="E1964" s="677"/>
      <c r="F1964" s="677"/>
      <c r="G1964" s="677"/>
      <c r="H1964" s="897"/>
      <c r="I1964" s="898"/>
      <c r="J1964" s="898"/>
      <c r="K1964" s="899"/>
      <c r="L1964" s="899"/>
      <c r="M1964" s="899"/>
      <c r="N1964" s="899"/>
      <c r="O1964" s="899"/>
      <c r="P1964" s="899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96"/>
      <c r="E1965" s="677"/>
      <c r="F1965" s="677"/>
      <c r="G1965" s="677"/>
      <c r="H1965" s="897"/>
      <c r="I1965" s="898"/>
      <c r="J1965" s="898"/>
      <c r="K1965" s="899"/>
      <c r="L1965" s="899"/>
      <c r="M1965" s="899"/>
      <c r="N1965" s="899"/>
      <c r="O1965" s="899"/>
      <c r="P1965" s="899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96"/>
      <c r="E1966" s="677"/>
      <c r="F1966" s="677"/>
      <c r="G1966" s="677"/>
      <c r="H1966" s="897"/>
      <c r="I1966" s="898"/>
      <c r="J1966" s="898"/>
      <c r="K1966" s="899"/>
      <c r="L1966" s="899"/>
      <c r="M1966" s="899"/>
      <c r="N1966" s="899"/>
      <c r="O1966" s="899"/>
      <c r="P1966" s="899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96"/>
      <c r="E1967" s="677"/>
      <c r="F1967" s="677"/>
      <c r="G1967" s="677"/>
      <c r="H1967" s="897"/>
      <c r="I1967" s="898"/>
      <c r="J1967" s="898"/>
      <c r="K1967" s="899"/>
      <c r="L1967" s="899"/>
      <c r="M1967" s="899"/>
      <c r="N1967" s="899"/>
      <c r="O1967" s="899"/>
      <c r="P1967" s="899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96"/>
      <c r="E1968" s="677"/>
      <c r="F1968" s="677"/>
      <c r="G1968" s="677"/>
      <c r="H1968" s="897"/>
      <c r="I1968" s="898"/>
      <c r="J1968" s="898"/>
      <c r="K1968" s="899"/>
      <c r="L1968" s="899"/>
      <c r="M1968" s="899"/>
      <c r="N1968" s="899"/>
      <c r="O1968" s="899"/>
      <c r="P1968" s="899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96"/>
      <c r="E1969" s="677"/>
      <c r="F1969" s="677"/>
      <c r="G1969" s="677"/>
      <c r="H1969" s="897"/>
      <c r="I1969" s="898"/>
      <c r="J1969" s="898"/>
      <c r="K1969" s="899"/>
      <c r="L1969" s="899"/>
      <c r="M1969" s="899"/>
      <c r="N1969" s="899"/>
      <c r="O1969" s="899"/>
      <c r="P1969" s="899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96"/>
      <c r="E1970" s="677"/>
      <c r="F1970" s="677"/>
      <c r="G1970" s="677"/>
      <c r="H1970" s="897"/>
      <c r="I1970" s="898"/>
      <c r="J1970" s="898"/>
      <c r="K1970" s="899"/>
      <c r="L1970" s="899"/>
      <c r="M1970" s="899"/>
      <c r="N1970" s="899"/>
      <c r="O1970" s="899"/>
      <c r="P1970" s="899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96"/>
      <c r="E1971" s="677"/>
      <c r="F1971" s="677"/>
      <c r="G1971" s="677"/>
      <c r="H1971" s="897"/>
      <c r="I1971" s="898"/>
      <c r="J1971" s="898"/>
      <c r="K1971" s="899"/>
      <c r="L1971" s="899"/>
      <c r="M1971" s="899"/>
      <c r="N1971" s="899"/>
      <c r="O1971" s="899"/>
      <c r="P1971" s="899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96"/>
      <c r="E1972" s="677"/>
      <c r="F1972" s="677"/>
      <c r="G1972" s="677"/>
      <c r="H1972" s="897"/>
      <c r="I1972" s="898"/>
      <c r="J1972" s="898"/>
      <c r="K1972" s="899"/>
      <c r="L1972" s="899"/>
      <c r="M1972" s="899"/>
      <c r="N1972" s="899"/>
      <c r="O1972" s="899"/>
      <c r="P1972" s="899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96"/>
      <c r="E1973" s="677"/>
      <c r="F1973" s="677"/>
      <c r="G1973" s="677"/>
      <c r="H1973" s="897"/>
      <c r="I1973" s="898"/>
      <c r="J1973" s="898"/>
      <c r="K1973" s="899"/>
      <c r="L1973" s="899"/>
      <c r="M1973" s="899"/>
      <c r="N1973" s="899"/>
      <c r="O1973" s="899"/>
      <c r="P1973" s="899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96"/>
      <c r="E1974" s="677"/>
      <c r="F1974" s="677"/>
      <c r="G1974" s="677"/>
      <c r="H1974" s="897"/>
      <c r="I1974" s="898"/>
      <c r="J1974" s="898"/>
      <c r="K1974" s="899"/>
      <c r="L1974" s="899"/>
      <c r="M1974" s="899"/>
      <c r="N1974" s="899"/>
      <c r="O1974" s="899"/>
      <c r="P1974" s="899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96"/>
      <c r="E1975" s="677"/>
      <c r="F1975" s="677"/>
      <c r="G1975" s="677"/>
      <c r="H1975" s="897"/>
      <c r="I1975" s="898"/>
      <c r="J1975" s="898"/>
      <c r="K1975" s="899"/>
      <c r="L1975" s="899"/>
      <c r="M1975" s="899"/>
      <c r="N1975" s="899"/>
      <c r="O1975" s="899"/>
      <c r="P1975" s="899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96"/>
      <c r="E1976" s="677"/>
      <c r="F1976" s="677"/>
      <c r="G1976" s="677"/>
      <c r="H1976" s="897"/>
      <c r="I1976" s="898"/>
      <c r="J1976" s="898"/>
      <c r="K1976" s="899"/>
      <c r="L1976" s="899"/>
      <c r="M1976" s="899"/>
      <c r="N1976" s="899"/>
      <c r="O1976" s="899"/>
      <c r="P1976" s="899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96"/>
      <c r="E1977" s="677"/>
      <c r="F1977" s="677"/>
      <c r="G1977" s="677"/>
      <c r="H1977" s="897"/>
      <c r="I1977" s="898"/>
      <c r="J1977" s="898"/>
      <c r="K1977" s="899"/>
      <c r="L1977" s="899"/>
      <c r="M1977" s="899"/>
      <c r="N1977" s="899"/>
      <c r="O1977" s="899"/>
      <c r="P1977" s="899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96"/>
      <c r="E1978" s="677"/>
      <c r="F1978" s="677"/>
      <c r="G1978" s="677"/>
      <c r="H1978" s="897"/>
      <c r="I1978" s="898"/>
      <c r="J1978" s="898"/>
      <c r="K1978" s="899"/>
      <c r="L1978" s="899"/>
      <c r="M1978" s="899"/>
      <c r="N1978" s="899"/>
      <c r="O1978" s="899"/>
      <c r="P1978" s="899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96"/>
      <c r="E1979" s="677"/>
      <c r="F1979" s="677"/>
      <c r="G1979" s="677"/>
      <c r="H1979" s="897"/>
      <c r="I1979" s="898"/>
      <c r="J1979" s="898"/>
      <c r="K1979" s="899"/>
      <c r="L1979" s="899"/>
      <c r="M1979" s="899"/>
      <c r="N1979" s="899"/>
      <c r="O1979" s="899"/>
      <c r="P1979" s="899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96"/>
      <c r="E1980" s="677"/>
      <c r="F1980" s="677"/>
      <c r="G1980" s="677"/>
      <c r="H1980" s="897"/>
      <c r="I1980" s="898"/>
      <c r="J1980" s="898"/>
      <c r="K1980" s="899"/>
      <c r="L1980" s="899"/>
      <c r="M1980" s="899"/>
      <c r="N1980" s="899"/>
      <c r="O1980" s="899"/>
      <c r="P1980" s="899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96"/>
      <c r="E1981" s="677"/>
      <c r="F1981" s="677"/>
      <c r="G1981" s="677"/>
      <c r="H1981" s="897"/>
      <c r="I1981" s="898"/>
      <c r="J1981" s="898"/>
      <c r="K1981" s="899"/>
      <c r="L1981" s="899"/>
      <c r="M1981" s="899"/>
      <c r="N1981" s="899"/>
      <c r="O1981" s="899"/>
      <c r="P1981" s="899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96"/>
      <c r="E1982" s="677"/>
      <c r="F1982" s="677"/>
      <c r="G1982" s="677"/>
      <c r="H1982" s="897"/>
      <c r="I1982" s="898"/>
      <c r="J1982" s="898"/>
      <c r="K1982" s="899"/>
      <c r="L1982" s="899"/>
      <c r="M1982" s="899"/>
      <c r="N1982" s="899"/>
      <c r="O1982" s="899"/>
      <c r="P1982" s="899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96"/>
      <c r="E1983" s="677"/>
      <c r="F1983" s="677"/>
      <c r="G1983" s="677"/>
      <c r="H1983" s="897"/>
      <c r="I1983" s="898"/>
      <c r="J1983" s="898"/>
      <c r="K1983" s="899"/>
      <c r="L1983" s="899"/>
      <c r="M1983" s="899"/>
      <c r="N1983" s="899"/>
      <c r="O1983" s="899"/>
      <c r="P1983" s="899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96"/>
      <c r="E1984" s="677"/>
      <c r="F1984" s="677"/>
      <c r="G1984" s="677"/>
      <c r="H1984" s="897"/>
      <c r="I1984" s="898"/>
      <c r="J1984" s="898"/>
      <c r="K1984" s="899"/>
      <c r="L1984" s="899"/>
      <c r="M1984" s="899"/>
      <c r="N1984" s="899"/>
      <c r="O1984" s="899"/>
      <c r="P1984" s="899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96"/>
      <c r="E1985" s="677"/>
      <c r="F1985" s="677"/>
      <c r="G1985" s="677"/>
      <c r="H1985" s="897"/>
      <c r="I1985" s="898"/>
      <c r="J1985" s="898"/>
      <c r="K1985" s="899"/>
      <c r="L1985" s="899"/>
      <c r="M1985" s="899"/>
      <c r="N1985" s="899"/>
      <c r="O1985" s="899"/>
      <c r="P1985" s="899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96"/>
      <c r="E1986" s="677"/>
      <c r="F1986" s="677"/>
      <c r="G1986" s="677"/>
      <c r="H1986" s="897"/>
      <c r="I1986" s="898"/>
      <c r="J1986" s="898"/>
      <c r="K1986" s="899"/>
      <c r="L1986" s="899"/>
      <c r="M1986" s="899"/>
      <c r="N1986" s="899"/>
      <c r="O1986" s="899"/>
      <c r="P1986" s="899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96"/>
      <c r="E1987" s="677"/>
      <c r="F1987" s="677"/>
      <c r="G1987" s="677"/>
      <c r="H1987" s="897"/>
      <c r="I1987" s="898"/>
      <c r="J1987" s="898"/>
      <c r="K1987" s="899"/>
      <c r="L1987" s="899"/>
      <c r="M1987" s="899"/>
      <c r="N1987" s="899"/>
      <c r="O1987" s="899"/>
      <c r="P1987" s="899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96"/>
      <c r="E1988" s="677"/>
      <c r="F1988" s="677"/>
      <c r="G1988" s="677"/>
      <c r="H1988" s="897"/>
      <c r="I1988" s="898"/>
      <c r="J1988" s="898"/>
      <c r="K1988" s="899"/>
      <c r="L1988" s="899"/>
      <c r="M1988" s="899"/>
      <c r="N1988" s="899"/>
      <c r="O1988" s="899"/>
      <c r="P1988" s="899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96"/>
      <c r="E1989" s="677"/>
      <c r="F1989" s="677"/>
      <c r="G1989" s="677"/>
      <c r="H1989" s="897"/>
      <c r="I1989" s="898"/>
      <c r="J1989" s="898"/>
      <c r="K1989" s="899"/>
      <c r="L1989" s="899"/>
      <c r="M1989" s="899"/>
      <c r="N1989" s="899"/>
      <c r="O1989" s="899"/>
      <c r="P1989" s="899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96"/>
      <c r="E1990" s="677"/>
      <c r="F1990" s="677"/>
      <c r="G1990" s="677"/>
      <c r="H1990" s="897"/>
      <c r="I1990" s="898"/>
      <c r="J1990" s="898"/>
      <c r="K1990" s="899"/>
      <c r="L1990" s="899"/>
      <c r="M1990" s="899"/>
      <c r="N1990" s="899"/>
      <c r="O1990" s="899"/>
      <c r="P1990" s="899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96"/>
      <c r="E1991" s="677"/>
      <c r="F1991" s="677"/>
      <c r="G1991" s="677"/>
      <c r="H1991" s="897"/>
      <c r="I1991" s="898"/>
      <c r="J1991" s="898"/>
      <c r="K1991" s="899"/>
      <c r="L1991" s="899"/>
      <c r="M1991" s="899"/>
      <c r="N1991" s="899"/>
      <c r="O1991" s="899"/>
      <c r="P1991" s="899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96"/>
      <c r="E1992" s="677"/>
      <c r="F1992" s="677"/>
      <c r="G1992" s="677"/>
      <c r="H1992" s="897"/>
      <c r="I1992" s="898"/>
      <c r="J1992" s="898"/>
      <c r="K1992" s="899"/>
      <c r="L1992" s="899"/>
      <c r="M1992" s="899"/>
      <c r="N1992" s="899"/>
      <c r="O1992" s="899"/>
      <c r="P1992" s="899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96"/>
      <c r="E1993" s="677"/>
      <c r="F1993" s="677"/>
      <c r="G1993" s="677"/>
      <c r="H1993" s="897"/>
      <c r="I1993" s="898"/>
      <c r="J1993" s="898"/>
      <c r="K1993" s="899"/>
      <c r="L1993" s="899"/>
      <c r="M1993" s="899"/>
      <c r="N1993" s="899"/>
      <c r="O1993" s="899"/>
      <c r="P1993" s="899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96"/>
      <c r="E1994" s="677"/>
      <c r="F1994" s="677"/>
      <c r="G1994" s="677"/>
      <c r="H1994" s="897"/>
      <c r="I1994" s="898"/>
      <c r="J1994" s="898"/>
      <c r="K1994" s="899"/>
      <c r="L1994" s="899"/>
      <c r="M1994" s="899"/>
      <c r="N1994" s="899"/>
      <c r="O1994" s="899"/>
      <c r="P1994" s="899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96"/>
      <c r="E1995" s="677"/>
      <c r="F1995" s="677"/>
      <c r="G1995" s="677"/>
      <c r="H1995" s="897"/>
      <c r="I1995" s="898"/>
      <c r="J1995" s="898"/>
      <c r="K1995" s="899"/>
      <c r="L1995" s="899"/>
      <c r="M1995" s="899"/>
      <c r="N1995" s="899"/>
      <c r="O1995" s="899"/>
      <c r="P1995" s="899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96"/>
      <c r="E1996" s="677"/>
      <c r="F1996" s="677"/>
      <c r="G1996" s="677"/>
      <c r="H1996" s="897"/>
      <c r="I1996" s="898"/>
      <c r="J1996" s="898"/>
      <c r="K1996" s="899"/>
      <c r="L1996" s="899"/>
      <c r="M1996" s="899"/>
      <c r="N1996" s="899"/>
      <c r="O1996" s="899"/>
      <c r="P1996" s="899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96"/>
      <c r="E1997" s="677"/>
      <c r="F1997" s="677"/>
      <c r="G1997" s="677"/>
      <c r="H1997" s="897"/>
      <c r="I1997" s="898"/>
      <c r="J1997" s="898"/>
      <c r="K1997" s="899"/>
      <c r="L1997" s="899"/>
      <c r="M1997" s="899"/>
      <c r="N1997" s="899"/>
      <c r="O1997" s="899"/>
      <c r="P1997" s="899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96"/>
      <c r="E1998" s="677"/>
      <c r="F1998" s="677"/>
      <c r="G1998" s="677"/>
      <c r="H1998" s="897"/>
      <c r="I1998" s="898"/>
      <c r="J1998" s="898"/>
      <c r="K1998" s="899"/>
      <c r="L1998" s="899"/>
      <c r="M1998" s="899"/>
      <c r="N1998" s="899"/>
      <c r="O1998" s="899"/>
      <c r="P1998" s="899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96"/>
      <c r="E1999" s="677"/>
      <c r="F1999" s="677"/>
      <c r="G1999" s="677"/>
      <c r="H1999" s="897"/>
      <c r="I1999" s="898"/>
      <c r="J1999" s="898"/>
      <c r="K1999" s="899"/>
      <c r="L1999" s="899"/>
      <c r="M1999" s="899"/>
      <c r="N1999" s="899"/>
      <c r="O1999" s="899"/>
      <c r="P1999" s="899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96"/>
      <c r="E2000" s="677"/>
      <c r="F2000" s="677"/>
      <c r="G2000" s="677"/>
      <c r="H2000" s="897"/>
      <c r="I2000" s="898"/>
      <c r="J2000" s="898"/>
      <c r="K2000" s="899"/>
      <c r="L2000" s="899"/>
      <c r="M2000" s="899"/>
      <c r="N2000" s="899"/>
      <c r="O2000" s="899"/>
      <c r="P2000" s="899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96"/>
      <c r="E2001" s="677"/>
      <c r="F2001" s="677"/>
      <c r="G2001" s="677"/>
      <c r="H2001" s="897"/>
      <c r="I2001" s="898"/>
      <c r="J2001" s="898"/>
      <c r="K2001" s="899"/>
      <c r="L2001" s="899"/>
      <c r="M2001" s="899"/>
      <c r="N2001" s="899"/>
      <c r="O2001" s="899"/>
      <c r="P2001" s="899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96"/>
      <c r="E2002" s="677"/>
      <c r="F2002" s="677"/>
      <c r="G2002" s="677"/>
      <c r="H2002" s="897"/>
      <c r="I2002" s="898"/>
      <c r="J2002" s="898"/>
      <c r="K2002" s="899"/>
      <c r="L2002" s="899"/>
      <c r="M2002" s="899"/>
      <c r="N2002" s="899"/>
      <c r="O2002" s="899"/>
      <c r="P2002" s="899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96"/>
      <c r="E2003" s="677"/>
      <c r="F2003" s="677"/>
      <c r="G2003" s="677"/>
      <c r="H2003" s="897"/>
      <c r="I2003" s="898"/>
      <c r="J2003" s="898"/>
      <c r="K2003" s="899"/>
      <c r="L2003" s="899"/>
      <c r="M2003" s="899"/>
      <c r="N2003" s="899"/>
      <c r="O2003" s="899"/>
      <c r="P2003" s="899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96"/>
      <c r="E2004" s="677"/>
      <c r="F2004" s="677"/>
      <c r="G2004" s="677"/>
      <c r="H2004" s="897"/>
      <c r="I2004" s="898"/>
      <c r="J2004" s="898"/>
      <c r="K2004" s="899"/>
      <c r="L2004" s="899"/>
      <c r="M2004" s="899"/>
      <c r="N2004" s="899"/>
      <c r="O2004" s="899"/>
      <c r="P2004" s="899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96"/>
      <c r="E2005" s="677"/>
      <c r="F2005" s="677"/>
      <c r="G2005" s="677"/>
      <c r="H2005" s="897"/>
      <c r="I2005" s="898"/>
      <c r="J2005" s="898"/>
      <c r="K2005" s="899"/>
      <c r="L2005" s="899"/>
      <c r="M2005" s="899"/>
      <c r="N2005" s="899"/>
      <c r="O2005" s="899"/>
      <c r="P2005" s="899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96"/>
      <c r="E2006" s="677"/>
      <c r="F2006" s="677"/>
      <c r="G2006" s="677"/>
      <c r="H2006" s="897"/>
      <c r="I2006" s="898"/>
      <c r="J2006" s="898"/>
      <c r="K2006" s="899"/>
      <c r="L2006" s="899"/>
      <c r="M2006" s="899"/>
      <c r="N2006" s="899"/>
      <c r="O2006" s="899"/>
      <c r="P2006" s="899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96"/>
      <c r="E2007" s="677"/>
      <c r="F2007" s="677"/>
      <c r="G2007" s="677"/>
      <c r="H2007" s="897"/>
      <c r="I2007" s="898"/>
      <c r="J2007" s="898"/>
      <c r="K2007" s="899"/>
      <c r="L2007" s="899"/>
      <c r="M2007" s="899"/>
      <c r="N2007" s="899"/>
      <c r="O2007" s="899"/>
      <c r="P2007" s="899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96"/>
      <c r="E2008" s="677"/>
      <c r="F2008" s="677"/>
      <c r="G2008" s="677"/>
      <c r="H2008" s="897"/>
      <c r="I2008" s="898"/>
      <c r="J2008" s="898"/>
      <c r="K2008" s="899"/>
      <c r="L2008" s="899"/>
      <c r="M2008" s="899"/>
      <c r="N2008" s="899"/>
      <c r="O2008" s="899"/>
      <c r="P2008" s="899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96"/>
      <c r="E2009" s="677"/>
      <c r="F2009" s="677"/>
      <c r="G2009" s="677"/>
      <c r="H2009" s="897"/>
      <c r="I2009" s="898"/>
      <c r="J2009" s="898"/>
      <c r="K2009" s="899"/>
      <c r="L2009" s="899"/>
      <c r="M2009" s="899"/>
      <c r="N2009" s="899"/>
      <c r="O2009" s="899"/>
      <c r="P2009" s="899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96"/>
      <c r="E2010" s="677"/>
      <c r="F2010" s="677"/>
      <c r="G2010" s="677"/>
      <c r="H2010" s="897"/>
      <c r="I2010" s="898"/>
      <c r="J2010" s="898"/>
      <c r="K2010" s="899"/>
      <c r="L2010" s="899"/>
      <c r="M2010" s="899"/>
      <c r="N2010" s="899"/>
      <c r="O2010" s="899"/>
      <c r="P2010" s="899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96"/>
      <c r="E2011" s="677"/>
      <c r="F2011" s="677"/>
      <c r="G2011" s="677"/>
      <c r="H2011" s="897"/>
      <c r="I2011" s="898"/>
      <c r="J2011" s="898"/>
      <c r="K2011" s="899"/>
      <c r="L2011" s="899"/>
      <c r="M2011" s="899"/>
      <c r="N2011" s="899"/>
      <c r="O2011" s="899"/>
      <c r="P2011" s="899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96"/>
      <c r="E2012" s="677"/>
      <c r="F2012" s="677"/>
      <c r="G2012" s="677"/>
      <c r="H2012" s="897"/>
      <c r="I2012" s="898"/>
      <c r="J2012" s="898"/>
      <c r="K2012" s="899"/>
      <c r="L2012" s="899"/>
      <c r="M2012" s="899"/>
      <c r="N2012" s="899"/>
      <c r="O2012" s="899"/>
      <c r="P2012" s="899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96"/>
      <c r="E2013" s="677"/>
      <c r="F2013" s="677"/>
      <c r="G2013" s="677"/>
      <c r="H2013" s="897"/>
      <c r="I2013" s="898"/>
      <c r="J2013" s="898"/>
      <c r="K2013" s="899"/>
      <c r="L2013" s="899"/>
      <c r="M2013" s="899"/>
      <c r="N2013" s="899"/>
      <c r="O2013" s="899"/>
      <c r="P2013" s="899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96"/>
      <c r="E2014" s="677"/>
      <c r="F2014" s="677"/>
      <c r="G2014" s="677"/>
      <c r="H2014" s="897"/>
      <c r="I2014" s="898"/>
      <c r="J2014" s="898"/>
      <c r="K2014" s="899"/>
      <c r="L2014" s="899"/>
      <c r="M2014" s="899"/>
      <c r="N2014" s="899"/>
      <c r="O2014" s="899"/>
      <c r="P2014" s="899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96"/>
      <c r="E2015" s="677"/>
      <c r="F2015" s="677"/>
      <c r="G2015" s="677"/>
      <c r="H2015" s="897"/>
      <c r="I2015" s="898"/>
      <c r="J2015" s="898"/>
      <c r="K2015" s="899"/>
      <c r="L2015" s="899"/>
      <c r="M2015" s="899"/>
      <c r="N2015" s="899"/>
      <c r="O2015" s="899"/>
      <c r="P2015" s="899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96"/>
      <c r="E2016" s="677"/>
      <c r="F2016" s="677"/>
      <c r="G2016" s="677"/>
      <c r="H2016" s="897"/>
      <c r="I2016" s="898"/>
      <c r="J2016" s="898"/>
      <c r="K2016" s="899"/>
      <c r="L2016" s="899"/>
      <c r="M2016" s="899"/>
      <c r="N2016" s="899"/>
      <c r="O2016" s="899"/>
      <c r="P2016" s="899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96"/>
      <c r="E2017" s="677"/>
      <c r="F2017" s="677"/>
      <c r="G2017" s="677"/>
      <c r="H2017" s="897"/>
      <c r="I2017" s="898"/>
      <c r="J2017" s="898"/>
      <c r="K2017" s="899"/>
      <c r="L2017" s="899"/>
      <c r="M2017" s="899"/>
      <c r="N2017" s="899"/>
      <c r="O2017" s="899"/>
      <c r="P2017" s="899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96"/>
      <c r="E2018" s="677"/>
      <c r="F2018" s="677"/>
      <c r="G2018" s="677"/>
      <c r="H2018" s="897"/>
      <c r="I2018" s="898"/>
      <c r="J2018" s="898"/>
      <c r="K2018" s="899"/>
      <c r="L2018" s="899"/>
      <c r="M2018" s="899"/>
      <c r="N2018" s="899"/>
      <c r="O2018" s="899"/>
      <c r="P2018" s="899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96"/>
      <c r="E2019" s="677"/>
      <c r="F2019" s="677"/>
      <c r="G2019" s="677"/>
      <c r="H2019" s="897"/>
      <c r="I2019" s="898"/>
      <c r="J2019" s="898"/>
      <c r="K2019" s="899"/>
      <c r="L2019" s="899"/>
      <c r="M2019" s="899"/>
      <c r="N2019" s="899"/>
      <c r="O2019" s="899"/>
      <c r="P2019" s="899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96"/>
      <c r="E2020" s="677"/>
      <c r="F2020" s="677"/>
      <c r="G2020" s="677"/>
      <c r="H2020" s="897"/>
      <c r="I2020" s="898"/>
      <c r="J2020" s="898"/>
      <c r="K2020" s="899"/>
      <c r="L2020" s="899"/>
      <c r="M2020" s="899"/>
      <c r="N2020" s="899"/>
      <c r="O2020" s="899"/>
      <c r="P2020" s="899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96"/>
      <c r="E2021" s="677"/>
      <c r="F2021" s="677"/>
      <c r="G2021" s="677"/>
      <c r="H2021" s="897"/>
      <c r="I2021" s="898"/>
      <c r="J2021" s="898"/>
      <c r="K2021" s="899"/>
      <c r="L2021" s="899"/>
      <c r="M2021" s="899"/>
      <c r="N2021" s="899"/>
      <c r="O2021" s="899"/>
      <c r="P2021" s="899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96"/>
      <c r="E2022" s="677"/>
      <c r="F2022" s="677"/>
      <c r="G2022" s="677"/>
      <c r="H2022" s="897"/>
      <c r="I2022" s="898"/>
      <c r="J2022" s="898"/>
      <c r="K2022" s="899"/>
      <c r="L2022" s="899"/>
      <c r="M2022" s="899"/>
      <c r="N2022" s="899"/>
      <c r="O2022" s="899"/>
      <c r="P2022" s="899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96"/>
      <c r="E2023" s="677"/>
      <c r="F2023" s="677"/>
      <c r="G2023" s="677"/>
      <c r="H2023" s="897"/>
      <c r="I2023" s="898"/>
      <c r="J2023" s="898"/>
      <c r="K2023" s="899"/>
      <c r="L2023" s="899"/>
      <c r="M2023" s="899"/>
      <c r="N2023" s="899"/>
      <c r="O2023" s="899"/>
      <c r="P2023" s="899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96"/>
      <c r="E2024" s="677"/>
      <c r="F2024" s="677"/>
      <c r="G2024" s="677"/>
      <c r="H2024" s="897"/>
      <c r="I2024" s="898"/>
      <c r="J2024" s="898"/>
      <c r="K2024" s="899"/>
      <c r="L2024" s="899"/>
      <c r="M2024" s="899"/>
      <c r="N2024" s="899"/>
      <c r="O2024" s="899"/>
      <c r="P2024" s="899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96"/>
      <c r="E2025" s="677"/>
      <c r="F2025" s="677"/>
      <c r="G2025" s="677"/>
      <c r="H2025" s="897"/>
      <c r="I2025" s="898"/>
      <c r="J2025" s="898"/>
      <c r="K2025" s="899"/>
      <c r="L2025" s="899"/>
      <c r="M2025" s="899"/>
      <c r="N2025" s="899"/>
      <c r="O2025" s="899"/>
      <c r="P2025" s="899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96"/>
      <c r="E2026" s="677"/>
      <c r="F2026" s="677"/>
      <c r="G2026" s="677"/>
      <c r="H2026" s="897"/>
      <c r="I2026" s="898"/>
      <c r="J2026" s="898"/>
      <c r="K2026" s="899"/>
      <c r="L2026" s="899"/>
      <c r="M2026" s="899"/>
      <c r="N2026" s="899"/>
      <c r="O2026" s="899"/>
      <c r="P2026" s="899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96"/>
      <c r="E2027" s="677"/>
      <c r="F2027" s="677"/>
      <c r="G2027" s="677"/>
      <c r="H2027" s="897"/>
      <c r="I2027" s="898"/>
      <c r="J2027" s="898"/>
      <c r="K2027" s="899"/>
      <c r="L2027" s="899"/>
      <c r="M2027" s="899"/>
      <c r="N2027" s="899"/>
      <c r="O2027" s="899"/>
      <c r="P2027" s="899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96"/>
      <c r="E2028" s="677"/>
      <c r="F2028" s="677"/>
      <c r="G2028" s="677"/>
      <c r="H2028" s="897"/>
      <c r="I2028" s="898"/>
      <c r="J2028" s="898"/>
      <c r="K2028" s="899"/>
      <c r="L2028" s="899"/>
      <c r="M2028" s="899"/>
      <c r="N2028" s="899"/>
      <c r="O2028" s="899"/>
      <c r="P2028" s="899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96"/>
      <c r="E2029" s="677"/>
      <c r="F2029" s="677"/>
      <c r="G2029" s="677"/>
      <c r="H2029" s="897"/>
      <c r="I2029" s="898"/>
      <c r="J2029" s="898"/>
      <c r="K2029" s="899"/>
      <c r="L2029" s="899"/>
      <c r="M2029" s="899"/>
      <c r="N2029" s="899"/>
      <c r="O2029" s="899"/>
      <c r="P2029" s="899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96"/>
      <c r="E2030" s="677"/>
      <c r="F2030" s="677"/>
      <c r="G2030" s="677"/>
      <c r="H2030" s="897"/>
      <c r="I2030" s="898"/>
      <c r="J2030" s="898"/>
      <c r="K2030" s="899"/>
      <c r="L2030" s="899"/>
      <c r="M2030" s="899"/>
      <c r="N2030" s="899"/>
      <c r="O2030" s="899"/>
      <c r="P2030" s="899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96"/>
      <c r="E2031" s="677"/>
      <c r="F2031" s="677"/>
      <c r="G2031" s="677"/>
      <c r="H2031" s="897"/>
      <c r="I2031" s="898"/>
      <c r="J2031" s="898"/>
      <c r="K2031" s="899"/>
      <c r="L2031" s="899"/>
      <c r="M2031" s="899"/>
      <c r="N2031" s="899"/>
      <c r="O2031" s="899"/>
      <c r="P2031" s="899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96"/>
      <c r="E2032" s="677"/>
      <c r="F2032" s="677"/>
      <c r="G2032" s="677"/>
      <c r="H2032" s="897"/>
      <c r="I2032" s="898"/>
      <c r="J2032" s="898"/>
      <c r="K2032" s="899"/>
      <c r="L2032" s="899"/>
      <c r="M2032" s="899"/>
      <c r="N2032" s="899"/>
      <c r="O2032" s="899"/>
      <c r="P2032" s="899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96"/>
      <c r="E2033" s="677"/>
      <c r="F2033" s="677"/>
      <c r="G2033" s="677"/>
      <c r="H2033" s="897"/>
      <c r="I2033" s="898"/>
      <c r="J2033" s="898"/>
      <c r="K2033" s="899"/>
      <c r="L2033" s="899"/>
      <c r="M2033" s="899"/>
      <c r="N2033" s="899"/>
      <c r="O2033" s="899"/>
      <c r="P2033" s="899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96"/>
      <c r="E2034" s="677"/>
      <c r="F2034" s="677"/>
      <c r="G2034" s="677"/>
      <c r="H2034" s="897"/>
      <c r="I2034" s="898"/>
      <c r="J2034" s="898"/>
      <c r="K2034" s="899"/>
      <c r="L2034" s="899"/>
      <c r="M2034" s="899"/>
      <c r="N2034" s="899"/>
      <c r="O2034" s="899"/>
      <c r="P2034" s="899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96"/>
      <c r="E2035" s="677"/>
      <c r="F2035" s="677"/>
      <c r="G2035" s="677"/>
      <c r="H2035" s="897"/>
      <c r="I2035" s="898"/>
      <c r="J2035" s="898"/>
      <c r="K2035" s="899"/>
      <c r="L2035" s="899"/>
      <c r="M2035" s="899"/>
      <c r="N2035" s="899"/>
      <c r="O2035" s="899"/>
      <c r="P2035" s="899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96"/>
      <c r="E2036" s="677"/>
      <c r="F2036" s="677"/>
      <c r="G2036" s="677"/>
      <c r="H2036" s="897"/>
      <c r="I2036" s="898"/>
      <c r="J2036" s="898"/>
      <c r="K2036" s="899"/>
      <c r="L2036" s="899"/>
      <c r="M2036" s="899"/>
      <c r="N2036" s="899"/>
      <c r="O2036" s="899"/>
      <c r="P2036" s="899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96"/>
      <c r="E2037" s="677"/>
      <c r="F2037" s="677"/>
      <c r="G2037" s="677"/>
      <c r="H2037" s="897"/>
      <c r="I2037" s="898"/>
      <c r="J2037" s="898"/>
      <c r="K2037" s="899"/>
      <c r="L2037" s="899"/>
      <c r="M2037" s="899"/>
      <c r="N2037" s="899"/>
      <c r="O2037" s="899"/>
      <c r="P2037" s="899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96"/>
      <c r="E2038" s="677"/>
      <c r="F2038" s="677"/>
      <c r="G2038" s="677"/>
      <c r="H2038" s="897"/>
      <c r="I2038" s="898"/>
      <c r="J2038" s="898"/>
      <c r="K2038" s="899"/>
      <c r="L2038" s="899"/>
      <c r="M2038" s="899"/>
      <c r="N2038" s="899"/>
      <c r="O2038" s="899"/>
      <c r="P2038" s="899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96"/>
      <c r="E2039" s="677"/>
      <c r="F2039" s="677"/>
      <c r="G2039" s="677"/>
      <c r="H2039" s="897"/>
      <c r="I2039" s="898"/>
      <c r="J2039" s="898"/>
      <c r="K2039" s="899"/>
      <c r="L2039" s="899"/>
      <c r="M2039" s="899"/>
      <c r="N2039" s="899"/>
      <c r="O2039" s="899"/>
      <c r="P2039" s="899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96"/>
      <c r="E2040" s="677"/>
      <c r="F2040" s="677"/>
      <c r="G2040" s="677"/>
      <c r="H2040" s="897"/>
      <c r="I2040" s="898"/>
      <c r="J2040" s="898"/>
      <c r="K2040" s="899"/>
      <c r="L2040" s="899"/>
      <c r="M2040" s="899"/>
      <c r="N2040" s="899"/>
      <c r="O2040" s="899"/>
      <c r="P2040" s="899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96"/>
      <c r="E2041" s="677"/>
      <c r="F2041" s="677"/>
      <c r="G2041" s="677"/>
      <c r="H2041" s="897"/>
      <c r="I2041" s="898"/>
      <c r="J2041" s="898"/>
      <c r="K2041" s="899"/>
      <c r="L2041" s="899"/>
      <c r="M2041" s="899"/>
      <c r="N2041" s="899"/>
      <c r="O2041" s="899"/>
      <c r="P2041" s="899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96"/>
      <c r="E2042" s="677"/>
      <c r="F2042" s="677"/>
      <c r="G2042" s="677"/>
      <c r="H2042" s="897"/>
      <c r="I2042" s="898"/>
      <c r="J2042" s="898"/>
      <c r="K2042" s="899"/>
      <c r="L2042" s="899"/>
      <c r="M2042" s="899"/>
      <c r="N2042" s="899"/>
      <c r="O2042" s="899"/>
      <c r="P2042" s="899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96"/>
      <c r="E2043" s="677"/>
      <c r="F2043" s="677"/>
      <c r="G2043" s="677"/>
      <c r="H2043" s="897"/>
      <c r="I2043" s="898"/>
      <c r="J2043" s="898"/>
      <c r="K2043" s="899"/>
      <c r="L2043" s="899"/>
      <c r="M2043" s="899"/>
      <c r="N2043" s="899"/>
      <c r="O2043" s="899"/>
      <c r="P2043" s="899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96"/>
      <c r="E2044" s="677"/>
      <c r="F2044" s="677"/>
      <c r="G2044" s="677"/>
      <c r="H2044" s="897"/>
      <c r="I2044" s="898"/>
      <c r="J2044" s="898"/>
      <c r="K2044" s="899"/>
      <c r="L2044" s="899"/>
      <c r="M2044" s="899"/>
      <c r="N2044" s="899"/>
      <c r="O2044" s="899"/>
      <c r="P2044" s="899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96"/>
      <c r="E2045" s="677"/>
      <c r="F2045" s="677"/>
      <c r="G2045" s="677"/>
      <c r="H2045" s="897"/>
      <c r="I2045" s="898"/>
      <c r="J2045" s="898"/>
      <c r="K2045" s="899"/>
      <c r="L2045" s="899"/>
      <c r="M2045" s="899"/>
      <c r="N2045" s="899"/>
      <c r="O2045" s="899"/>
      <c r="P2045" s="899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96"/>
      <c r="E2046" s="677"/>
      <c r="F2046" s="677"/>
      <c r="G2046" s="677"/>
      <c r="H2046" s="897"/>
      <c r="I2046" s="898"/>
      <c r="J2046" s="898"/>
      <c r="K2046" s="899"/>
      <c r="L2046" s="899"/>
      <c r="M2046" s="899"/>
      <c r="N2046" s="899"/>
      <c r="O2046" s="899"/>
      <c r="P2046" s="899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96"/>
      <c r="E2047" s="677"/>
      <c r="F2047" s="677"/>
      <c r="G2047" s="677"/>
      <c r="H2047" s="897"/>
      <c r="I2047" s="898"/>
      <c r="J2047" s="898"/>
      <c r="K2047" s="899"/>
      <c r="L2047" s="899"/>
      <c r="M2047" s="899"/>
      <c r="N2047" s="899"/>
      <c r="O2047" s="899"/>
      <c r="P2047" s="899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96"/>
      <c r="E2048" s="677"/>
      <c r="F2048" s="677"/>
      <c r="G2048" s="677"/>
      <c r="H2048" s="897"/>
      <c r="I2048" s="898"/>
      <c r="J2048" s="898"/>
      <c r="K2048" s="899"/>
      <c r="L2048" s="899"/>
      <c r="M2048" s="899"/>
      <c r="N2048" s="899"/>
      <c r="O2048" s="899"/>
      <c r="P2048" s="899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96"/>
      <c r="E2049" s="677"/>
      <c r="F2049" s="677"/>
      <c r="G2049" s="677"/>
      <c r="H2049" s="897"/>
      <c r="I2049" s="898"/>
      <c r="J2049" s="898"/>
      <c r="K2049" s="899"/>
      <c r="L2049" s="899"/>
      <c r="M2049" s="899"/>
      <c r="N2049" s="899"/>
      <c r="O2049" s="899"/>
      <c r="P2049" s="899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96"/>
      <c r="E2050" s="677"/>
      <c r="F2050" s="677"/>
      <c r="G2050" s="677"/>
      <c r="H2050" s="897"/>
      <c r="I2050" s="898"/>
      <c r="J2050" s="898"/>
      <c r="K2050" s="899"/>
      <c r="L2050" s="899"/>
      <c r="M2050" s="899"/>
      <c r="N2050" s="899"/>
      <c r="O2050" s="899"/>
      <c r="P2050" s="899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96"/>
      <c r="E2051" s="677"/>
      <c r="F2051" s="677"/>
      <c r="G2051" s="677"/>
      <c r="H2051" s="897"/>
      <c r="I2051" s="898"/>
      <c r="J2051" s="898"/>
      <c r="K2051" s="899"/>
      <c r="L2051" s="899"/>
      <c r="M2051" s="899"/>
      <c r="N2051" s="899"/>
      <c r="O2051" s="899"/>
      <c r="P2051" s="899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96"/>
      <c r="E2052" s="677"/>
      <c r="F2052" s="677"/>
      <c r="G2052" s="677"/>
      <c r="H2052" s="897"/>
      <c r="I2052" s="898"/>
      <c r="J2052" s="898"/>
      <c r="K2052" s="899"/>
      <c r="L2052" s="899"/>
      <c r="M2052" s="899"/>
      <c r="N2052" s="899"/>
      <c r="O2052" s="899"/>
      <c r="P2052" s="899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96"/>
      <c r="E2053" s="677"/>
      <c r="F2053" s="677"/>
      <c r="G2053" s="677"/>
      <c r="H2053" s="897"/>
      <c r="I2053" s="898"/>
      <c r="J2053" s="898"/>
      <c r="K2053" s="899"/>
      <c r="L2053" s="899"/>
      <c r="M2053" s="899"/>
      <c r="N2053" s="899"/>
      <c r="O2053" s="899"/>
      <c r="P2053" s="899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96"/>
      <c r="E2054" s="677"/>
      <c r="F2054" s="677"/>
      <c r="G2054" s="677"/>
      <c r="H2054" s="897"/>
      <c r="I2054" s="898"/>
      <c r="J2054" s="898"/>
      <c r="K2054" s="899"/>
      <c r="L2054" s="899"/>
      <c r="M2054" s="899"/>
      <c r="N2054" s="899"/>
      <c r="O2054" s="899"/>
      <c r="P2054" s="899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96"/>
      <c r="E2055" s="677"/>
      <c r="F2055" s="677"/>
      <c r="G2055" s="677"/>
      <c r="H2055" s="897"/>
      <c r="I2055" s="898"/>
      <c r="J2055" s="898"/>
      <c r="K2055" s="899"/>
      <c r="L2055" s="899"/>
      <c r="M2055" s="899"/>
      <c r="N2055" s="899"/>
      <c r="O2055" s="899"/>
      <c r="P2055" s="899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96"/>
      <c r="E2056" s="677"/>
      <c r="F2056" s="677"/>
      <c r="G2056" s="677"/>
      <c r="H2056" s="897"/>
      <c r="I2056" s="898"/>
      <c r="J2056" s="898"/>
      <c r="K2056" s="899"/>
      <c r="L2056" s="899"/>
      <c r="M2056" s="899"/>
      <c r="N2056" s="899"/>
      <c r="O2056" s="899"/>
      <c r="P2056" s="899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96"/>
      <c r="E2057" s="677"/>
      <c r="F2057" s="677"/>
      <c r="G2057" s="677"/>
      <c r="H2057" s="897"/>
      <c r="I2057" s="898"/>
      <c r="J2057" s="898"/>
      <c r="K2057" s="899"/>
      <c r="L2057" s="899"/>
      <c r="M2057" s="899"/>
      <c r="N2057" s="899"/>
      <c r="O2057" s="899"/>
      <c r="P2057" s="899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96"/>
      <c r="E2058" s="677"/>
      <c r="F2058" s="677"/>
      <c r="G2058" s="677"/>
      <c r="H2058" s="897"/>
      <c r="I2058" s="898"/>
      <c r="J2058" s="898"/>
      <c r="K2058" s="899"/>
      <c r="L2058" s="899"/>
      <c r="M2058" s="899"/>
      <c r="N2058" s="899"/>
      <c r="O2058" s="899"/>
      <c r="P2058" s="899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96"/>
      <c r="E2059" s="677"/>
      <c r="F2059" s="677"/>
      <c r="G2059" s="677"/>
      <c r="H2059" s="897"/>
      <c r="I2059" s="898"/>
      <c r="J2059" s="898"/>
      <c r="K2059" s="899"/>
      <c r="L2059" s="899"/>
      <c r="M2059" s="899"/>
      <c r="N2059" s="899"/>
      <c r="O2059" s="899"/>
      <c r="P2059" s="899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96"/>
      <c r="E2060" s="677"/>
      <c r="F2060" s="677"/>
      <c r="G2060" s="677"/>
      <c r="H2060" s="897"/>
      <c r="I2060" s="898"/>
      <c r="J2060" s="898"/>
      <c r="K2060" s="899"/>
      <c r="L2060" s="899"/>
      <c r="M2060" s="899"/>
      <c r="N2060" s="899"/>
      <c r="O2060" s="899"/>
      <c r="P2060" s="899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96"/>
      <c r="E2061" s="677"/>
      <c r="F2061" s="677"/>
      <c r="G2061" s="677"/>
      <c r="H2061" s="897"/>
      <c r="I2061" s="898"/>
      <c r="J2061" s="898"/>
      <c r="K2061" s="899"/>
      <c r="L2061" s="899"/>
      <c r="M2061" s="899"/>
      <c r="N2061" s="899"/>
      <c r="O2061" s="899"/>
      <c r="P2061" s="899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96"/>
      <c r="E2062" s="677"/>
      <c r="F2062" s="677"/>
      <c r="G2062" s="677"/>
      <c r="H2062" s="897"/>
      <c r="I2062" s="898"/>
      <c r="J2062" s="898"/>
      <c r="K2062" s="899"/>
      <c r="L2062" s="899"/>
      <c r="M2062" s="899"/>
      <c r="N2062" s="899"/>
      <c r="O2062" s="899"/>
      <c r="P2062" s="899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96"/>
      <c r="E2063" s="677"/>
      <c r="F2063" s="677"/>
      <c r="G2063" s="677"/>
      <c r="H2063" s="897"/>
      <c r="I2063" s="898"/>
      <c r="J2063" s="898"/>
      <c r="K2063" s="899"/>
      <c r="L2063" s="899"/>
      <c r="M2063" s="899"/>
      <c r="N2063" s="899"/>
      <c r="O2063" s="899"/>
      <c r="P2063" s="899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96"/>
      <c r="E2064" s="677"/>
      <c r="F2064" s="677"/>
      <c r="G2064" s="677"/>
      <c r="H2064" s="897"/>
      <c r="I2064" s="898"/>
      <c r="J2064" s="898"/>
      <c r="K2064" s="899"/>
      <c r="L2064" s="899"/>
      <c r="M2064" s="899"/>
      <c r="N2064" s="899"/>
      <c r="O2064" s="899"/>
      <c r="P2064" s="899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96"/>
      <c r="E2065" s="677"/>
      <c r="F2065" s="677"/>
      <c r="G2065" s="677"/>
      <c r="H2065" s="897"/>
      <c r="I2065" s="898"/>
      <c r="J2065" s="898"/>
      <c r="K2065" s="899"/>
      <c r="L2065" s="899"/>
      <c r="M2065" s="899"/>
      <c r="N2065" s="899"/>
      <c r="O2065" s="899"/>
      <c r="P2065" s="899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96"/>
      <c r="E2066" s="677"/>
      <c r="F2066" s="677"/>
      <c r="G2066" s="677"/>
      <c r="H2066" s="897"/>
      <c r="I2066" s="898"/>
      <c r="J2066" s="898"/>
      <c r="K2066" s="899"/>
      <c r="L2066" s="899"/>
      <c r="M2066" s="899"/>
      <c r="N2066" s="899"/>
      <c r="O2066" s="899"/>
      <c r="P2066" s="899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96"/>
      <c r="E2067" s="677"/>
      <c r="F2067" s="677"/>
      <c r="G2067" s="677"/>
      <c r="H2067" s="897"/>
      <c r="I2067" s="898"/>
      <c r="J2067" s="898"/>
      <c r="K2067" s="899"/>
      <c r="L2067" s="899"/>
      <c r="M2067" s="899"/>
      <c r="N2067" s="899"/>
      <c r="O2067" s="899"/>
      <c r="P2067" s="899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96"/>
      <c r="E2068" s="677"/>
      <c r="F2068" s="677"/>
      <c r="G2068" s="677"/>
      <c r="H2068" s="897"/>
      <c r="I2068" s="898"/>
      <c r="J2068" s="898"/>
      <c r="K2068" s="899"/>
      <c r="L2068" s="899"/>
      <c r="M2068" s="899"/>
      <c r="N2068" s="899"/>
      <c r="O2068" s="899"/>
      <c r="P2068" s="899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96"/>
      <c r="E2069" s="677"/>
      <c r="F2069" s="677"/>
      <c r="G2069" s="677"/>
      <c r="H2069" s="897"/>
      <c r="I2069" s="898"/>
      <c r="J2069" s="898"/>
      <c r="K2069" s="899"/>
      <c r="L2069" s="899"/>
      <c r="M2069" s="899"/>
      <c r="N2069" s="899"/>
      <c r="O2069" s="899"/>
      <c r="P2069" s="899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96"/>
      <c r="E2070" s="677"/>
      <c r="F2070" s="677"/>
      <c r="G2070" s="677"/>
      <c r="H2070" s="897"/>
      <c r="I2070" s="898"/>
      <c r="J2070" s="898"/>
      <c r="K2070" s="899"/>
      <c r="L2070" s="899"/>
      <c r="M2070" s="899"/>
      <c r="N2070" s="899"/>
      <c r="O2070" s="899"/>
      <c r="P2070" s="899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96"/>
      <c r="E2071" s="677"/>
      <c r="F2071" s="677"/>
      <c r="G2071" s="677"/>
      <c r="H2071" s="897"/>
      <c r="I2071" s="898"/>
      <c r="J2071" s="898"/>
      <c r="K2071" s="899"/>
      <c r="L2071" s="899"/>
      <c r="M2071" s="899"/>
      <c r="N2071" s="899"/>
      <c r="O2071" s="899"/>
      <c r="P2071" s="899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96"/>
      <c r="E2072" s="677"/>
      <c r="F2072" s="677"/>
      <c r="G2072" s="677"/>
      <c r="H2072" s="897"/>
      <c r="I2072" s="898"/>
      <c r="J2072" s="898"/>
      <c r="K2072" s="899"/>
      <c r="L2072" s="899"/>
      <c r="M2072" s="899"/>
      <c r="N2072" s="899"/>
      <c r="O2072" s="899"/>
      <c r="P2072" s="899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96"/>
      <c r="E2073" s="677"/>
      <c r="F2073" s="677"/>
      <c r="G2073" s="677"/>
      <c r="H2073" s="897"/>
      <c r="I2073" s="898"/>
      <c r="J2073" s="898"/>
      <c r="K2073" s="899"/>
      <c r="L2073" s="899"/>
      <c r="M2073" s="899"/>
      <c r="N2073" s="899"/>
      <c r="O2073" s="899"/>
      <c r="P2073" s="899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96"/>
      <c r="E2074" s="677"/>
      <c r="F2074" s="677"/>
      <c r="G2074" s="677"/>
      <c r="H2074" s="897"/>
      <c r="I2074" s="898"/>
      <c r="J2074" s="898"/>
      <c r="K2074" s="899"/>
      <c r="L2074" s="899"/>
      <c r="M2074" s="899"/>
      <c r="N2074" s="899"/>
      <c r="O2074" s="899"/>
      <c r="P2074" s="899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96"/>
      <c r="E2075" s="677"/>
      <c r="F2075" s="677"/>
      <c r="G2075" s="677"/>
      <c r="H2075" s="897"/>
      <c r="I2075" s="898"/>
      <c r="J2075" s="898"/>
      <c r="K2075" s="899"/>
      <c r="L2075" s="899"/>
      <c r="M2075" s="899"/>
      <c r="N2075" s="899"/>
      <c r="O2075" s="899"/>
      <c r="P2075" s="899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96"/>
      <c r="E2076" s="677"/>
      <c r="F2076" s="677"/>
      <c r="G2076" s="677"/>
      <c r="H2076" s="897"/>
      <c r="I2076" s="898"/>
      <c r="J2076" s="898"/>
      <c r="K2076" s="899"/>
      <c r="L2076" s="899"/>
      <c r="M2076" s="899"/>
      <c r="N2076" s="899"/>
      <c r="O2076" s="899"/>
      <c r="P2076" s="899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96"/>
      <c r="E2077" s="677"/>
      <c r="F2077" s="677"/>
      <c r="G2077" s="677"/>
      <c r="H2077" s="897"/>
      <c r="I2077" s="898"/>
      <c r="J2077" s="898"/>
      <c r="K2077" s="899"/>
      <c r="L2077" s="899"/>
      <c r="M2077" s="899"/>
      <c r="N2077" s="899"/>
      <c r="O2077" s="899"/>
      <c r="P2077" s="899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96"/>
      <c r="E2078" s="677"/>
      <c r="F2078" s="677"/>
      <c r="G2078" s="677"/>
      <c r="H2078" s="897"/>
      <c r="I2078" s="898"/>
      <c r="J2078" s="898"/>
      <c r="K2078" s="899"/>
      <c r="L2078" s="899"/>
      <c r="M2078" s="899"/>
      <c r="N2078" s="899"/>
      <c r="O2078" s="899"/>
      <c r="P2078" s="899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96"/>
      <c r="E2079" s="677"/>
      <c r="F2079" s="677"/>
      <c r="G2079" s="677"/>
      <c r="H2079" s="897"/>
      <c r="I2079" s="898"/>
      <c r="J2079" s="898"/>
      <c r="K2079" s="899"/>
      <c r="L2079" s="899"/>
      <c r="M2079" s="899"/>
      <c r="N2079" s="899"/>
      <c r="O2079" s="899"/>
      <c r="P2079" s="899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96"/>
      <c r="E2080" s="677"/>
      <c r="F2080" s="677"/>
      <c r="G2080" s="677"/>
      <c r="H2080" s="897"/>
      <c r="I2080" s="898"/>
      <c r="J2080" s="898"/>
      <c r="K2080" s="899"/>
      <c r="L2080" s="899"/>
      <c r="M2080" s="899"/>
      <c r="N2080" s="899"/>
      <c r="O2080" s="899"/>
      <c r="P2080" s="899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96"/>
      <c r="E2081" s="677"/>
      <c r="F2081" s="677"/>
      <c r="G2081" s="677"/>
      <c r="H2081" s="897"/>
      <c r="I2081" s="898"/>
      <c r="J2081" s="898"/>
      <c r="K2081" s="899"/>
      <c r="L2081" s="899"/>
      <c r="M2081" s="899"/>
      <c r="N2081" s="899"/>
      <c r="O2081" s="899"/>
      <c r="P2081" s="899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96"/>
      <c r="E2082" s="677"/>
      <c r="F2082" s="677"/>
      <c r="G2082" s="677"/>
      <c r="H2082" s="897"/>
      <c r="I2082" s="898"/>
      <c r="J2082" s="898"/>
      <c r="K2082" s="899"/>
      <c r="L2082" s="899"/>
      <c r="M2082" s="899"/>
      <c r="N2082" s="899"/>
      <c r="O2082" s="899"/>
      <c r="P2082" s="899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96"/>
      <c r="E2083" s="677"/>
      <c r="F2083" s="677"/>
      <c r="G2083" s="677"/>
      <c r="H2083" s="897"/>
      <c r="I2083" s="898"/>
      <c r="J2083" s="898"/>
      <c r="K2083" s="899"/>
      <c r="L2083" s="899"/>
      <c r="M2083" s="899"/>
      <c r="N2083" s="899"/>
      <c r="O2083" s="899"/>
      <c r="P2083" s="899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96"/>
      <c r="E2084" s="677"/>
      <c r="F2084" s="677"/>
      <c r="G2084" s="677"/>
      <c r="H2084" s="897"/>
      <c r="I2084" s="898"/>
      <c r="J2084" s="898"/>
      <c r="K2084" s="899"/>
      <c r="L2084" s="899"/>
      <c r="M2084" s="899"/>
      <c r="N2084" s="899"/>
      <c r="O2084" s="899"/>
      <c r="P2084" s="899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96"/>
      <c r="E2085" s="677"/>
      <c r="F2085" s="677"/>
      <c r="G2085" s="677"/>
      <c r="H2085" s="897"/>
      <c r="I2085" s="898"/>
      <c r="J2085" s="898"/>
      <c r="K2085" s="899"/>
      <c r="L2085" s="899"/>
      <c r="M2085" s="899"/>
      <c r="N2085" s="899"/>
      <c r="O2085" s="899"/>
      <c r="P2085" s="899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96"/>
      <c r="E2086" s="677"/>
      <c r="F2086" s="677"/>
      <c r="G2086" s="677"/>
      <c r="H2086" s="897"/>
      <c r="I2086" s="898"/>
      <c r="J2086" s="898"/>
      <c r="K2086" s="899"/>
      <c r="L2086" s="899"/>
      <c r="M2086" s="899"/>
      <c r="N2086" s="899"/>
      <c r="O2086" s="899"/>
      <c r="P2086" s="899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96"/>
      <c r="E2087" s="677"/>
      <c r="F2087" s="677"/>
      <c r="G2087" s="677"/>
      <c r="H2087" s="897"/>
      <c r="I2087" s="898"/>
      <c r="J2087" s="898"/>
      <c r="K2087" s="899"/>
      <c r="L2087" s="899"/>
      <c r="M2087" s="899"/>
      <c r="N2087" s="899"/>
      <c r="O2087" s="899"/>
      <c r="P2087" s="899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96"/>
      <c r="E2088" s="677"/>
      <c r="F2088" s="677"/>
      <c r="G2088" s="677"/>
      <c r="H2088" s="897"/>
      <c r="I2088" s="898"/>
      <c r="J2088" s="898"/>
      <c r="K2088" s="899"/>
      <c r="L2088" s="899"/>
      <c r="M2088" s="899"/>
      <c r="N2088" s="899"/>
      <c r="O2088" s="899"/>
      <c r="P2088" s="899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96"/>
      <c r="E2089" s="677"/>
      <c r="F2089" s="677"/>
      <c r="G2089" s="677"/>
      <c r="H2089" s="897"/>
      <c r="I2089" s="898"/>
      <c r="J2089" s="898"/>
      <c r="K2089" s="899"/>
      <c r="L2089" s="899"/>
      <c r="M2089" s="899"/>
      <c r="N2089" s="899"/>
      <c r="O2089" s="899"/>
      <c r="P2089" s="899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96"/>
      <c r="E2090" s="677"/>
      <c r="F2090" s="677"/>
      <c r="G2090" s="677"/>
      <c r="H2090" s="897"/>
      <c r="I2090" s="898"/>
      <c r="J2090" s="898"/>
      <c r="K2090" s="899"/>
      <c r="L2090" s="899"/>
      <c r="M2090" s="899"/>
      <c r="N2090" s="899"/>
      <c r="O2090" s="899"/>
      <c r="P2090" s="899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96"/>
      <c r="E2091" s="677"/>
      <c r="F2091" s="677"/>
      <c r="G2091" s="677"/>
      <c r="H2091" s="897"/>
      <c r="I2091" s="898"/>
      <c r="J2091" s="898"/>
      <c r="K2091" s="899"/>
      <c r="L2091" s="899"/>
      <c r="M2091" s="899"/>
      <c r="N2091" s="899"/>
      <c r="O2091" s="899"/>
      <c r="P2091" s="899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96"/>
      <c r="E2092" s="677"/>
      <c r="F2092" s="677"/>
      <c r="G2092" s="677"/>
      <c r="H2092" s="897"/>
      <c r="I2092" s="898"/>
      <c r="J2092" s="898"/>
      <c r="K2092" s="899"/>
      <c r="L2092" s="899"/>
      <c r="M2092" s="899"/>
      <c r="N2092" s="899"/>
      <c r="O2092" s="899"/>
      <c r="P2092" s="899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96"/>
      <c r="E2093" s="677"/>
      <c r="F2093" s="677"/>
      <c r="G2093" s="677"/>
      <c r="H2093" s="897"/>
      <c r="I2093" s="898"/>
      <c r="J2093" s="898"/>
      <c r="K2093" s="899"/>
      <c r="L2093" s="899"/>
      <c r="M2093" s="899"/>
      <c r="N2093" s="899"/>
      <c r="O2093" s="899"/>
      <c r="P2093" s="899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96"/>
      <c r="E2094" s="677"/>
      <c r="F2094" s="677"/>
      <c r="G2094" s="677"/>
      <c r="H2094" s="897"/>
      <c r="I2094" s="898"/>
      <c r="J2094" s="898"/>
      <c r="K2094" s="899"/>
      <c r="L2094" s="899"/>
      <c r="M2094" s="899"/>
      <c r="N2094" s="899"/>
      <c r="O2094" s="899"/>
      <c r="P2094" s="899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96"/>
      <c r="E2095" s="677"/>
      <c r="F2095" s="677"/>
      <c r="G2095" s="677"/>
      <c r="H2095" s="897"/>
      <c r="I2095" s="898"/>
      <c r="J2095" s="898"/>
      <c r="K2095" s="899"/>
      <c r="L2095" s="899"/>
      <c r="M2095" s="899"/>
      <c r="N2095" s="899"/>
      <c r="O2095" s="899"/>
      <c r="P2095" s="899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96"/>
      <c r="E2096" s="677"/>
      <c r="F2096" s="677"/>
      <c r="G2096" s="677"/>
      <c r="H2096" s="897"/>
      <c r="I2096" s="898"/>
      <c r="J2096" s="898"/>
      <c r="K2096" s="899"/>
      <c r="L2096" s="899"/>
      <c r="M2096" s="899"/>
      <c r="N2096" s="899"/>
      <c r="O2096" s="899"/>
      <c r="P2096" s="899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96"/>
      <c r="E2097" s="677"/>
      <c r="F2097" s="677"/>
      <c r="G2097" s="677"/>
      <c r="H2097" s="897"/>
      <c r="I2097" s="898"/>
      <c r="J2097" s="898"/>
      <c r="K2097" s="899"/>
      <c r="L2097" s="899"/>
      <c r="M2097" s="899"/>
      <c r="N2097" s="899"/>
      <c r="O2097" s="899"/>
      <c r="P2097" s="899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96"/>
      <c r="E2098" s="677"/>
      <c r="F2098" s="677"/>
      <c r="G2098" s="677"/>
      <c r="H2098" s="897"/>
      <c r="I2098" s="898"/>
      <c r="J2098" s="898"/>
      <c r="K2098" s="899"/>
      <c r="L2098" s="899"/>
      <c r="M2098" s="899"/>
      <c r="N2098" s="899"/>
      <c r="O2098" s="899"/>
      <c r="P2098" s="899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96"/>
      <c r="E2099" s="677"/>
      <c r="F2099" s="677"/>
      <c r="G2099" s="677"/>
      <c r="H2099" s="897"/>
      <c r="I2099" s="898"/>
      <c r="J2099" s="898"/>
      <c r="K2099" s="899"/>
      <c r="L2099" s="899"/>
      <c r="M2099" s="899"/>
      <c r="N2099" s="899"/>
      <c r="O2099" s="899"/>
      <c r="P2099" s="899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96"/>
      <c r="E2100" s="677"/>
      <c r="F2100" s="677"/>
      <c r="G2100" s="677"/>
      <c r="H2100" s="897"/>
      <c r="I2100" s="898"/>
      <c r="J2100" s="898"/>
      <c r="K2100" s="899"/>
      <c r="L2100" s="899"/>
      <c r="M2100" s="899"/>
      <c r="N2100" s="899"/>
      <c r="O2100" s="899"/>
      <c r="P2100" s="899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96"/>
      <c r="E2101" s="677"/>
      <c r="F2101" s="677"/>
      <c r="G2101" s="677"/>
      <c r="H2101" s="897"/>
      <c r="I2101" s="898"/>
      <c r="J2101" s="898"/>
      <c r="K2101" s="899"/>
      <c r="L2101" s="899"/>
      <c r="M2101" s="899"/>
      <c r="N2101" s="899"/>
      <c r="O2101" s="899"/>
      <c r="P2101" s="899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96"/>
      <c r="E2102" s="677"/>
      <c r="F2102" s="677"/>
      <c r="G2102" s="677"/>
      <c r="H2102" s="897"/>
      <c r="I2102" s="898"/>
      <c r="J2102" s="898"/>
      <c r="K2102" s="899"/>
      <c r="L2102" s="899"/>
      <c r="M2102" s="899"/>
      <c r="N2102" s="899"/>
      <c r="O2102" s="899"/>
      <c r="P2102" s="899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96"/>
      <c r="E2103" s="677"/>
      <c r="F2103" s="677"/>
      <c r="G2103" s="677"/>
      <c r="H2103" s="897"/>
      <c r="I2103" s="898"/>
      <c r="J2103" s="898"/>
      <c r="K2103" s="899"/>
      <c r="L2103" s="899"/>
      <c r="M2103" s="899"/>
      <c r="N2103" s="899"/>
      <c r="O2103" s="899"/>
      <c r="P2103" s="899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96"/>
      <c r="E2104" s="677"/>
      <c r="F2104" s="677"/>
      <c r="G2104" s="677"/>
      <c r="H2104" s="897"/>
      <c r="I2104" s="898"/>
      <c r="J2104" s="898"/>
      <c r="K2104" s="899"/>
      <c r="L2104" s="899"/>
      <c r="M2104" s="899"/>
      <c r="N2104" s="899"/>
      <c r="O2104" s="899"/>
      <c r="P2104" s="899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96"/>
      <c r="E2105" s="677"/>
      <c r="F2105" s="677"/>
      <c r="G2105" s="677"/>
      <c r="H2105" s="897"/>
      <c r="I2105" s="898"/>
      <c r="J2105" s="898"/>
      <c r="K2105" s="899"/>
      <c r="L2105" s="899"/>
      <c r="M2105" s="899"/>
      <c r="N2105" s="899"/>
      <c r="O2105" s="899"/>
      <c r="P2105" s="899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96"/>
      <c r="E2106" s="677"/>
      <c r="F2106" s="677"/>
      <c r="G2106" s="677"/>
      <c r="H2106" s="897"/>
      <c r="I2106" s="898"/>
      <c r="J2106" s="898"/>
      <c r="K2106" s="899"/>
      <c r="L2106" s="899"/>
      <c r="M2106" s="899"/>
      <c r="N2106" s="899"/>
      <c r="O2106" s="899"/>
      <c r="P2106" s="899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96"/>
      <c r="E2107" s="677"/>
      <c r="F2107" s="677"/>
      <c r="G2107" s="677"/>
      <c r="H2107" s="897"/>
      <c r="I2107" s="898"/>
      <c r="J2107" s="898"/>
      <c r="K2107" s="899"/>
      <c r="L2107" s="899"/>
      <c r="M2107" s="899"/>
      <c r="N2107" s="899"/>
      <c r="O2107" s="899"/>
      <c r="P2107" s="899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96"/>
      <c r="E2108" s="677"/>
      <c r="F2108" s="677"/>
      <c r="G2108" s="677"/>
      <c r="H2108" s="897"/>
      <c r="I2108" s="898"/>
      <c r="J2108" s="898"/>
      <c r="K2108" s="899"/>
      <c r="L2108" s="899"/>
      <c r="M2108" s="899"/>
      <c r="N2108" s="899"/>
      <c r="O2108" s="899"/>
      <c r="P2108" s="899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96"/>
      <c r="E2109" s="677"/>
      <c r="F2109" s="677"/>
      <c r="G2109" s="677"/>
      <c r="H2109" s="897"/>
      <c r="I2109" s="898"/>
      <c r="J2109" s="898"/>
      <c r="K2109" s="899"/>
      <c r="L2109" s="899"/>
      <c r="M2109" s="899"/>
      <c r="N2109" s="899"/>
      <c r="O2109" s="899"/>
      <c r="P2109" s="899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96"/>
      <c r="E2110" s="677"/>
      <c r="F2110" s="677"/>
      <c r="G2110" s="677"/>
      <c r="H2110" s="897"/>
      <c r="I2110" s="898"/>
      <c r="J2110" s="898"/>
      <c r="K2110" s="899"/>
      <c r="L2110" s="899"/>
      <c r="M2110" s="899"/>
      <c r="N2110" s="899"/>
      <c r="O2110" s="899"/>
      <c r="P2110" s="899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96"/>
      <c r="E2111" s="677"/>
      <c r="F2111" s="677"/>
      <c r="G2111" s="677"/>
      <c r="H2111" s="897"/>
      <c r="I2111" s="898"/>
      <c r="J2111" s="898"/>
      <c r="K2111" s="899"/>
      <c r="L2111" s="899"/>
      <c r="M2111" s="899"/>
      <c r="N2111" s="899"/>
      <c r="O2111" s="899"/>
      <c r="P2111" s="899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96"/>
      <c r="E2112" s="677"/>
      <c r="F2112" s="677"/>
      <c r="G2112" s="677"/>
      <c r="H2112" s="897"/>
      <c r="I2112" s="898"/>
      <c r="J2112" s="898"/>
      <c r="K2112" s="899"/>
      <c r="L2112" s="899"/>
      <c r="M2112" s="899"/>
      <c r="N2112" s="899"/>
      <c r="O2112" s="899"/>
      <c r="P2112" s="899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96"/>
      <c r="E2113" s="677"/>
      <c r="F2113" s="677"/>
      <c r="G2113" s="677"/>
      <c r="H2113" s="897"/>
      <c r="I2113" s="898"/>
      <c r="J2113" s="898"/>
      <c r="K2113" s="899"/>
      <c r="L2113" s="899"/>
      <c r="M2113" s="899"/>
      <c r="N2113" s="899"/>
      <c r="O2113" s="899"/>
      <c r="P2113" s="899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96"/>
      <c r="E2114" s="677"/>
      <c r="F2114" s="677"/>
      <c r="G2114" s="677"/>
      <c r="H2114" s="897"/>
      <c r="I2114" s="898"/>
      <c r="J2114" s="898"/>
      <c r="K2114" s="899"/>
      <c r="L2114" s="899"/>
      <c r="M2114" s="899"/>
      <c r="N2114" s="899"/>
      <c r="O2114" s="899"/>
      <c r="P2114" s="899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96"/>
      <c r="E2115" s="677"/>
      <c r="F2115" s="677"/>
      <c r="G2115" s="677"/>
      <c r="H2115" s="897"/>
      <c r="I2115" s="898"/>
      <c r="J2115" s="898"/>
      <c r="K2115" s="899"/>
      <c r="L2115" s="899"/>
      <c r="M2115" s="899"/>
      <c r="N2115" s="899"/>
      <c r="O2115" s="899"/>
      <c r="P2115" s="899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96"/>
      <c r="E2116" s="677"/>
      <c r="F2116" s="677"/>
      <c r="G2116" s="677"/>
      <c r="H2116" s="897"/>
      <c r="I2116" s="898"/>
      <c r="J2116" s="898"/>
      <c r="K2116" s="899"/>
      <c r="L2116" s="899"/>
      <c r="M2116" s="899"/>
      <c r="N2116" s="899"/>
      <c r="O2116" s="899"/>
      <c r="P2116" s="899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96"/>
      <c r="E2117" s="677"/>
      <c r="F2117" s="677"/>
      <c r="G2117" s="677"/>
      <c r="H2117" s="897"/>
      <c r="I2117" s="898"/>
      <c r="J2117" s="898"/>
      <c r="K2117" s="899"/>
      <c r="L2117" s="899"/>
      <c r="M2117" s="899"/>
      <c r="N2117" s="899"/>
      <c r="O2117" s="899"/>
      <c r="P2117" s="899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96"/>
      <c r="E2118" s="677"/>
      <c r="F2118" s="677"/>
      <c r="G2118" s="677"/>
      <c r="H2118" s="897"/>
      <c r="I2118" s="898"/>
      <c r="J2118" s="898"/>
      <c r="K2118" s="899"/>
      <c r="L2118" s="899"/>
      <c r="M2118" s="899"/>
      <c r="N2118" s="899"/>
      <c r="O2118" s="899"/>
      <c r="P2118" s="899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96"/>
      <c r="E2119" s="677"/>
      <c r="F2119" s="677"/>
      <c r="G2119" s="677"/>
      <c r="H2119" s="897"/>
      <c r="I2119" s="898"/>
      <c r="J2119" s="898"/>
      <c r="K2119" s="899"/>
      <c r="L2119" s="899"/>
      <c r="M2119" s="899"/>
      <c r="N2119" s="899"/>
      <c r="O2119" s="899"/>
      <c r="P2119" s="899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96"/>
      <c r="E2120" s="677"/>
      <c r="F2120" s="677"/>
      <c r="G2120" s="677"/>
      <c r="H2120" s="897"/>
      <c r="I2120" s="898"/>
      <c r="J2120" s="898"/>
      <c r="K2120" s="899"/>
      <c r="L2120" s="899"/>
      <c r="M2120" s="899"/>
      <c r="N2120" s="899"/>
      <c r="O2120" s="899"/>
      <c r="P2120" s="899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96"/>
      <c r="E2121" s="677"/>
      <c r="F2121" s="677"/>
      <c r="G2121" s="677"/>
      <c r="H2121" s="897"/>
      <c r="I2121" s="898"/>
      <c r="J2121" s="898"/>
      <c r="K2121" s="899"/>
      <c r="L2121" s="899"/>
      <c r="M2121" s="899"/>
      <c r="N2121" s="899"/>
      <c r="O2121" s="899"/>
      <c r="P2121" s="899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96"/>
      <c r="E2122" s="677"/>
      <c r="F2122" s="677"/>
      <c r="G2122" s="677"/>
      <c r="H2122" s="897"/>
      <c r="I2122" s="898"/>
      <c r="J2122" s="898"/>
      <c r="K2122" s="899"/>
      <c r="L2122" s="899"/>
      <c r="M2122" s="899"/>
      <c r="N2122" s="899"/>
      <c r="O2122" s="899"/>
      <c r="P2122" s="899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96"/>
      <c r="E2123" s="677"/>
      <c r="F2123" s="677"/>
      <c r="G2123" s="677"/>
      <c r="H2123" s="897"/>
      <c r="I2123" s="898"/>
      <c r="J2123" s="898"/>
      <c r="K2123" s="899"/>
      <c r="L2123" s="899"/>
      <c r="M2123" s="899"/>
      <c r="N2123" s="899"/>
      <c r="O2123" s="899"/>
      <c r="P2123" s="899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96"/>
      <c r="E2124" s="677"/>
      <c r="F2124" s="677"/>
      <c r="G2124" s="677"/>
      <c r="H2124" s="897"/>
      <c r="I2124" s="898"/>
      <c r="J2124" s="898"/>
      <c r="K2124" s="899"/>
      <c r="L2124" s="899"/>
      <c r="M2124" s="899"/>
      <c r="N2124" s="899"/>
      <c r="O2124" s="899"/>
      <c r="P2124" s="899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96"/>
      <c r="E2125" s="677"/>
      <c r="F2125" s="677"/>
      <c r="G2125" s="677"/>
      <c r="H2125" s="897"/>
      <c r="I2125" s="898"/>
      <c r="J2125" s="898"/>
      <c r="K2125" s="899"/>
      <c r="L2125" s="899"/>
      <c r="M2125" s="899"/>
      <c r="N2125" s="899"/>
      <c r="O2125" s="899"/>
      <c r="P2125" s="899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96"/>
      <c r="E2126" s="677"/>
      <c r="F2126" s="677"/>
      <c r="G2126" s="677"/>
      <c r="H2126" s="897"/>
      <c r="I2126" s="898"/>
      <c r="J2126" s="898"/>
      <c r="K2126" s="899"/>
      <c r="L2126" s="899"/>
      <c r="M2126" s="899"/>
      <c r="N2126" s="899"/>
      <c r="O2126" s="899"/>
      <c r="P2126" s="899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96"/>
      <c r="E2127" s="677"/>
      <c r="F2127" s="677"/>
      <c r="G2127" s="677"/>
      <c r="H2127" s="897"/>
      <c r="I2127" s="898"/>
      <c r="J2127" s="898"/>
      <c r="K2127" s="899"/>
      <c r="L2127" s="899"/>
      <c r="M2127" s="899"/>
      <c r="N2127" s="899"/>
      <c r="O2127" s="899"/>
      <c r="P2127" s="899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96"/>
      <c r="E2128" s="677"/>
      <c r="F2128" s="677"/>
      <c r="G2128" s="677"/>
      <c r="H2128" s="897"/>
      <c r="I2128" s="898"/>
      <c r="J2128" s="898"/>
      <c r="K2128" s="899"/>
      <c r="L2128" s="899"/>
      <c r="M2128" s="899"/>
      <c r="N2128" s="899"/>
      <c r="O2128" s="899"/>
      <c r="P2128" s="899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96"/>
      <c r="E2129" s="677"/>
      <c r="F2129" s="677"/>
      <c r="G2129" s="677"/>
      <c r="H2129" s="897"/>
      <c r="I2129" s="898"/>
      <c r="J2129" s="898"/>
      <c r="K2129" s="899"/>
      <c r="L2129" s="899"/>
      <c r="M2129" s="899"/>
      <c r="N2129" s="899"/>
      <c r="O2129" s="899"/>
      <c r="P2129" s="899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96"/>
      <c r="E2130" s="677"/>
      <c r="F2130" s="677"/>
      <c r="G2130" s="677"/>
      <c r="H2130" s="897"/>
      <c r="I2130" s="898"/>
      <c r="J2130" s="898"/>
      <c r="K2130" s="899"/>
      <c r="L2130" s="899"/>
      <c r="M2130" s="899"/>
      <c r="N2130" s="899"/>
      <c r="O2130" s="899"/>
      <c r="P2130" s="899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96"/>
      <c r="E2131" s="677"/>
      <c r="F2131" s="677"/>
      <c r="G2131" s="677"/>
      <c r="H2131" s="897"/>
      <c r="I2131" s="898"/>
      <c r="J2131" s="898"/>
      <c r="K2131" s="899"/>
      <c r="L2131" s="899"/>
      <c r="M2131" s="899"/>
      <c r="N2131" s="899"/>
      <c r="O2131" s="899"/>
      <c r="P2131" s="899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96"/>
      <c r="E2132" s="677"/>
      <c r="F2132" s="677"/>
      <c r="G2132" s="677"/>
      <c r="H2132" s="897"/>
      <c r="I2132" s="898"/>
      <c r="J2132" s="898"/>
      <c r="K2132" s="899"/>
      <c r="L2132" s="899"/>
      <c r="M2132" s="899"/>
      <c r="N2132" s="899"/>
      <c r="O2132" s="899"/>
      <c r="P2132" s="899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96"/>
      <c r="E2133" s="677"/>
      <c r="F2133" s="677"/>
      <c r="G2133" s="677"/>
      <c r="H2133" s="897"/>
      <c r="I2133" s="898"/>
      <c r="J2133" s="898"/>
      <c r="K2133" s="899"/>
      <c r="L2133" s="899"/>
      <c r="M2133" s="899"/>
      <c r="N2133" s="899"/>
      <c r="O2133" s="899"/>
      <c r="P2133" s="899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96"/>
      <c r="E2134" s="677"/>
      <c r="F2134" s="677"/>
      <c r="G2134" s="677"/>
      <c r="H2134" s="897"/>
      <c r="I2134" s="898"/>
      <c r="J2134" s="898"/>
      <c r="K2134" s="899"/>
      <c r="L2134" s="899"/>
      <c r="M2134" s="899"/>
      <c r="N2134" s="899"/>
      <c r="O2134" s="899"/>
      <c r="P2134" s="899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96"/>
      <c r="E2135" s="677"/>
      <c r="F2135" s="677"/>
      <c r="G2135" s="677"/>
      <c r="H2135" s="897"/>
      <c r="I2135" s="898"/>
      <c r="J2135" s="898"/>
      <c r="K2135" s="899"/>
      <c r="L2135" s="899"/>
      <c r="M2135" s="899"/>
      <c r="N2135" s="899"/>
      <c r="O2135" s="899"/>
      <c r="P2135" s="899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96"/>
      <c r="E2136" s="677"/>
      <c r="F2136" s="677"/>
      <c r="G2136" s="677"/>
      <c r="H2136" s="897"/>
      <c r="I2136" s="898"/>
      <c r="J2136" s="898"/>
      <c r="K2136" s="899"/>
      <c r="L2136" s="899"/>
      <c r="M2136" s="899"/>
      <c r="N2136" s="899"/>
      <c r="O2136" s="899"/>
      <c r="P2136" s="899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96"/>
      <c r="E2137" s="677"/>
      <c r="F2137" s="677"/>
      <c r="G2137" s="677"/>
      <c r="H2137" s="897"/>
      <c r="I2137" s="898"/>
      <c r="J2137" s="898"/>
      <c r="K2137" s="899"/>
      <c r="L2137" s="899"/>
      <c r="M2137" s="899"/>
      <c r="N2137" s="899"/>
      <c r="O2137" s="899"/>
      <c r="P2137" s="899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96"/>
      <c r="E2138" s="677"/>
      <c r="F2138" s="677"/>
      <c r="G2138" s="677"/>
      <c r="H2138" s="897"/>
      <c r="I2138" s="898"/>
      <c r="J2138" s="898"/>
      <c r="K2138" s="899"/>
      <c r="L2138" s="899"/>
      <c r="M2138" s="899"/>
      <c r="N2138" s="899"/>
      <c r="O2138" s="899"/>
      <c r="P2138" s="899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96"/>
      <c r="E2139" s="677"/>
      <c r="F2139" s="677"/>
      <c r="G2139" s="677"/>
      <c r="H2139" s="897"/>
      <c r="I2139" s="898"/>
      <c r="J2139" s="898"/>
      <c r="K2139" s="899"/>
      <c r="L2139" s="899"/>
      <c r="M2139" s="899"/>
      <c r="N2139" s="899"/>
      <c r="O2139" s="899"/>
      <c r="P2139" s="899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96"/>
      <c r="E2140" s="677"/>
      <c r="F2140" s="677"/>
      <c r="G2140" s="677"/>
      <c r="H2140" s="897"/>
      <c r="I2140" s="898"/>
      <c r="J2140" s="898"/>
      <c r="K2140" s="899"/>
      <c r="L2140" s="899"/>
      <c r="M2140" s="899"/>
      <c r="N2140" s="899"/>
      <c r="O2140" s="899"/>
      <c r="P2140" s="899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96"/>
      <c r="E2141" s="677"/>
      <c r="F2141" s="677"/>
      <c r="G2141" s="677"/>
      <c r="H2141" s="897"/>
      <c r="I2141" s="898"/>
      <c r="J2141" s="898"/>
      <c r="K2141" s="899"/>
      <c r="L2141" s="899"/>
      <c r="M2141" s="899"/>
      <c r="N2141" s="899"/>
      <c r="O2141" s="899"/>
      <c r="P2141" s="899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96"/>
      <c r="E2142" s="677"/>
      <c r="F2142" s="677"/>
      <c r="G2142" s="677"/>
      <c r="H2142" s="897"/>
      <c r="I2142" s="898"/>
      <c r="J2142" s="898"/>
      <c r="K2142" s="899"/>
      <c r="L2142" s="899"/>
      <c r="M2142" s="899"/>
      <c r="N2142" s="899"/>
      <c r="O2142" s="899"/>
      <c r="P2142" s="899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96"/>
      <c r="E2143" s="677"/>
      <c r="F2143" s="677"/>
      <c r="G2143" s="677"/>
      <c r="H2143" s="897"/>
      <c r="I2143" s="898"/>
      <c r="J2143" s="898"/>
      <c r="K2143" s="899"/>
      <c r="L2143" s="899"/>
      <c r="M2143" s="899"/>
      <c r="N2143" s="899"/>
      <c r="O2143" s="899"/>
      <c r="P2143" s="899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96"/>
      <c r="E2144" s="677"/>
      <c r="F2144" s="677"/>
      <c r="G2144" s="677"/>
      <c r="H2144" s="897"/>
      <c r="I2144" s="898"/>
      <c r="J2144" s="898"/>
      <c r="K2144" s="899"/>
      <c r="L2144" s="899"/>
      <c r="M2144" s="899"/>
      <c r="N2144" s="899"/>
      <c r="O2144" s="899"/>
      <c r="P2144" s="899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96"/>
      <c r="E2145" s="677"/>
      <c r="F2145" s="677"/>
      <c r="G2145" s="677"/>
      <c r="H2145" s="897"/>
      <c r="I2145" s="898"/>
      <c r="J2145" s="898"/>
      <c r="K2145" s="899"/>
      <c r="L2145" s="899"/>
      <c r="M2145" s="899"/>
      <c r="N2145" s="899"/>
      <c r="O2145" s="899"/>
      <c r="P2145" s="899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96"/>
      <c r="E2146" s="677"/>
      <c r="F2146" s="677"/>
      <c r="G2146" s="677"/>
      <c r="H2146" s="897"/>
      <c r="I2146" s="898"/>
      <c r="J2146" s="898"/>
      <c r="K2146" s="899"/>
      <c r="L2146" s="899"/>
      <c r="M2146" s="899"/>
      <c r="N2146" s="899"/>
      <c r="O2146" s="899"/>
      <c r="P2146" s="899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96"/>
      <c r="E2147" s="677"/>
      <c r="F2147" s="677"/>
      <c r="G2147" s="677"/>
      <c r="H2147" s="897"/>
      <c r="I2147" s="898"/>
      <c r="J2147" s="898"/>
      <c r="K2147" s="899"/>
      <c r="L2147" s="899"/>
      <c r="M2147" s="899"/>
      <c r="N2147" s="899"/>
      <c r="O2147" s="899"/>
      <c r="P2147" s="899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96"/>
      <c r="E2148" s="677"/>
      <c r="F2148" s="677"/>
      <c r="G2148" s="677"/>
      <c r="H2148" s="897"/>
      <c r="I2148" s="898"/>
      <c r="J2148" s="898"/>
      <c r="K2148" s="899"/>
      <c r="L2148" s="899"/>
      <c r="M2148" s="899"/>
      <c r="N2148" s="899"/>
      <c r="O2148" s="899"/>
      <c r="P2148" s="899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96"/>
      <c r="E2149" s="677"/>
      <c r="F2149" s="677"/>
      <c r="G2149" s="677"/>
      <c r="H2149" s="897"/>
      <c r="I2149" s="898"/>
      <c r="J2149" s="898"/>
      <c r="K2149" s="899"/>
      <c r="L2149" s="899"/>
      <c r="M2149" s="899"/>
      <c r="N2149" s="899"/>
      <c r="O2149" s="899"/>
      <c r="P2149" s="899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96"/>
      <c r="E2150" s="677"/>
      <c r="F2150" s="677"/>
      <c r="G2150" s="677"/>
      <c r="H2150" s="897"/>
      <c r="I2150" s="898"/>
      <c r="J2150" s="898"/>
      <c r="K2150" s="899"/>
      <c r="L2150" s="899"/>
      <c r="M2150" s="899"/>
      <c r="N2150" s="899"/>
      <c r="O2150" s="899"/>
      <c r="P2150" s="899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96"/>
      <c r="E2151" s="677"/>
      <c r="F2151" s="677"/>
      <c r="G2151" s="677"/>
      <c r="H2151" s="897"/>
      <c r="I2151" s="898"/>
      <c r="J2151" s="898"/>
      <c r="K2151" s="899"/>
      <c r="L2151" s="899"/>
      <c r="M2151" s="899"/>
      <c r="N2151" s="899"/>
      <c r="O2151" s="899"/>
      <c r="P2151" s="899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96"/>
      <c r="E2152" s="677"/>
      <c r="F2152" s="677"/>
      <c r="G2152" s="677"/>
      <c r="H2152" s="897"/>
      <c r="I2152" s="898"/>
      <c r="J2152" s="898"/>
      <c r="K2152" s="899"/>
      <c r="L2152" s="899"/>
      <c r="M2152" s="899"/>
      <c r="N2152" s="899"/>
      <c r="O2152" s="899"/>
      <c r="P2152" s="899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96"/>
      <c r="E2153" s="677"/>
      <c r="F2153" s="677"/>
      <c r="G2153" s="677"/>
      <c r="H2153" s="897"/>
      <c r="I2153" s="898"/>
      <c r="J2153" s="898"/>
      <c r="K2153" s="899"/>
      <c r="L2153" s="899"/>
      <c r="M2153" s="899"/>
      <c r="N2153" s="899"/>
      <c r="O2153" s="899"/>
      <c r="P2153" s="899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96"/>
      <c r="E2154" s="677"/>
      <c r="F2154" s="677"/>
      <c r="G2154" s="677"/>
      <c r="H2154" s="897"/>
      <c r="I2154" s="898"/>
      <c r="J2154" s="898"/>
      <c r="K2154" s="899"/>
      <c r="L2154" s="899"/>
      <c r="M2154" s="899"/>
      <c r="N2154" s="899"/>
      <c r="O2154" s="899"/>
      <c r="P2154" s="899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96"/>
      <c r="E2155" s="677"/>
      <c r="F2155" s="677"/>
      <c r="G2155" s="677"/>
      <c r="H2155" s="897"/>
      <c r="I2155" s="898"/>
      <c r="J2155" s="898"/>
      <c r="K2155" s="899"/>
      <c r="L2155" s="899"/>
      <c r="M2155" s="899"/>
      <c r="N2155" s="899"/>
      <c r="O2155" s="899"/>
      <c r="P2155" s="899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96"/>
      <c r="E2156" s="677"/>
      <c r="F2156" s="677"/>
      <c r="G2156" s="677"/>
      <c r="H2156" s="897"/>
      <c r="I2156" s="898"/>
      <c r="J2156" s="898"/>
      <c r="K2156" s="899"/>
      <c r="L2156" s="899"/>
      <c r="M2156" s="899"/>
      <c r="N2156" s="899"/>
      <c r="O2156" s="899"/>
      <c r="P2156" s="899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96"/>
      <c r="E2157" s="677"/>
      <c r="F2157" s="677"/>
      <c r="G2157" s="677"/>
      <c r="H2157" s="897"/>
      <c r="I2157" s="898"/>
      <c r="J2157" s="898"/>
      <c r="K2157" s="899"/>
      <c r="L2157" s="899"/>
      <c r="M2157" s="899"/>
      <c r="N2157" s="899"/>
      <c r="O2157" s="899"/>
      <c r="P2157" s="899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96"/>
      <c r="E2158" s="677"/>
      <c r="F2158" s="677"/>
      <c r="G2158" s="677"/>
      <c r="H2158" s="897"/>
      <c r="I2158" s="898"/>
      <c r="J2158" s="898"/>
      <c r="K2158" s="899"/>
      <c r="L2158" s="899"/>
      <c r="M2158" s="899"/>
      <c r="N2158" s="899"/>
      <c r="O2158" s="899"/>
      <c r="P2158" s="899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96"/>
      <c r="E2159" s="677"/>
      <c r="F2159" s="677"/>
      <c r="G2159" s="677"/>
      <c r="H2159" s="897"/>
      <c r="I2159" s="898"/>
      <c r="J2159" s="898"/>
      <c r="K2159" s="899"/>
      <c r="L2159" s="899"/>
      <c r="M2159" s="899"/>
      <c r="N2159" s="899"/>
      <c r="O2159" s="899"/>
      <c r="P2159" s="899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96"/>
      <c r="E2160" s="677"/>
      <c r="F2160" s="677"/>
      <c r="G2160" s="677"/>
      <c r="H2160" s="897"/>
      <c r="I2160" s="898"/>
      <c r="J2160" s="898"/>
      <c r="K2160" s="899"/>
      <c r="L2160" s="899"/>
      <c r="M2160" s="899"/>
      <c r="N2160" s="899"/>
      <c r="O2160" s="899"/>
      <c r="P2160" s="899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96"/>
      <c r="E2161" s="677"/>
      <c r="F2161" s="677"/>
      <c r="G2161" s="677"/>
      <c r="H2161" s="897"/>
      <c r="I2161" s="898"/>
      <c r="J2161" s="898"/>
      <c r="K2161" s="899"/>
      <c r="L2161" s="899"/>
      <c r="M2161" s="899"/>
      <c r="N2161" s="899"/>
      <c r="O2161" s="899"/>
      <c r="P2161" s="899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96"/>
      <c r="E2162" s="677"/>
      <c r="F2162" s="677"/>
      <c r="G2162" s="677"/>
      <c r="H2162" s="897"/>
      <c r="I2162" s="898"/>
      <c r="J2162" s="898"/>
      <c r="K2162" s="899"/>
      <c r="L2162" s="899"/>
      <c r="M2162" s="899"/>
      <c r="N2162" s="899"/>
      <c r="O2162" s="899"/>
      <c r="P2162" s="899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96"/>
      <c r="E2163" s="677"/>
      <c r="F2163" s="677"/>
      <c r="G2163" s="677"/>
      <c r="H2163" s="897"/>
      <c r="I2163" s="898"/>
      <c r="J2163" s="898"/>
      <c r="K2163" s="899"/>
      <c r="L2163" s="899"/>
      <c r="M2163" s="899"/>
      <c r="N2163" s="899"/>
      <c r="O2163" s="899"/>
      <c r="P2163" s="899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96"/>
      <c r="E2164" s="677"/>
      <c r="F2164" s="677"/>
      <c r="G2164" s="677"/>
      <c r="H2164" s="897"/>
      <c r="I2164" s="898"/>
      <c r="J2164" s="898"/>
      <c r="K2164" s="899"/>
      <c r="L2164" s="899"/>
      <c r="M2164" s="899"/>
      <c r="N2164" s="899"/>
      <c r="O2164" s="899"/>
      <c r="P2164" s="899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96"/>
      <c r="E2165" s="677"/>
      <c r="F2165" s="677"/>
      <c r="G2165" s="677"/>
      <c r="H2165" s="897"/>
      <c r="I2165" s="898"/>
      <c r="J2165" s="898"/>
      <c r="K2165" s="899"/>
      <c r="L2165" s="899"/>
      <c r="M2165" s="899"/>
      <c r="N2165" s="899"/>
      <c r="O2165" s="899"/>
      <c r="P2165" s="899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96"/>
      <c r="E2166" s="677"/>
      <c r="F2166" s="677"/>
      <c r="G2166" s="677"/>
      <c r="H2166" s="897"/>
      <c r="I2166" s="898"/>
      <c r="J2166" s="898"/>
      <c r="K2166" s="899"/>
      <c r="L2166" s="899"/>
      <c r="M2166" s="899"/>
      <c r="N2166" s="899"/>
      <c r="O2166" s="899"/>
      <c r="P2166" s="899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96"/>
      <c r="E2167" s="677"/>
      <c r="F2167" s="677"/>
      <c r="G2167" s="677"/>
      <c r="H2167" s="897"/>
      <c r="I2167" s="898"/>
      <c r="J2167" s="898"/>
      <c r="K2167" s="899"/>
      <c r="L2167" s="899"/>
      <c r="M2167" s="899"/>
      <c r="N2167" s="899"/>
      <c r="O2167" s="899"/>
      <c r="P2167" s="899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96"/>
      <c r="E2168" s="677"/>
      <c r="F2168" s="677"/>
      <c r="G2168" s="677"/>
      <c r="H2168" s="897"/>
      <c r="I2168" s="898"/>
      <c r="J2168" s="898"/>
      <c r="K2168" s="899"/>
      <c r="L2168" s="899"/>
      <c r="M2168" s="899"/>
      <c r="N2168" s="899"/>
      <c r="O2168" s="899"/>
      <c r="P2168" s="899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96"/>
      <c r="E2169" s="677"/>
      <c r="F2169" s="677"/>
      <c r="G2169" s="677"/>
      <c r="H2169" s="897"/>
      <c r="I2169" s="898"/>
      <c r="J2169" s="898"/>
      <c r="K2169" s="899"/>
      <c r="L2169" s="899"/>
      <c r="M2169" s="899"/>
      <c r="N2169" s="899"/>
      <c r="O2169" s="899"/>
      <c r="P2169" s="899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96"/>
      <c r="E2170" s="677"/>
      <c r="F2170" s="677"/>
      <c r="G2170" s="677"/>
      <c r="H2170" s="897"/>
      <c r="I2170" s="898"/>
      <c r="J2170" s="898"/>
      <c r="K2170" s="899"/>
      <c r="L2170" s="899"/>
      <c r="M2170" s="899"/>
      <c r="N2170" s="899"/>
      <c r="O2170" s="899"/>
      <c r="P2170" s="899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96"/>
      <c r="E2171" s="677"/>
      <c r="F2171" s="677"/>
      <c r="G2171" s="677"/>
      <c r="H2171" s="897"/>
      <c r="I2171" s="898"/>
      <c r="J2171" s="898"/>
      <c r="K2171" s="899"/>
      <c r="L2171" s="899"/>
      <c r="M2171" s="899"/>
      <c r="N2171" s="899"/>
      <c r="O2171" s="899"/>
      <c r="P2171" s="899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96"/>
      <c r="E2172" s="677"/>
      <c r="F2172" s="677"/>
      <c r="G2172" s="677"/>
      <c r="H2172" s="897"/>
      <c r="I2172" s="898"/>
      <c r="J2172" s="898"/>
      <c r="K2172" s="899"/>
      <c r="L2172" s="899"/>
      <c r="M2172" s="899"/>
      <c r="N2172" s="899"/>
      <c r="O2172" s="899"/>
      <c r="P2172" s="899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96"/>
      <c r="E2173" s="677"/>
      <c r="F2173" s="677"/>
      <c r="G2173" s="677"/>
      <c r="H2173" s="897"/>
      <c r="I2173" s="898"/>
      <c r="J2173" s="898"/>
      <c r="K2173" s="899"/>
      <c r="L2173" s="899"/>
      <c r="M2173" s="899"/>
      <c r="N2173" s="899"/>
      <c r="O2173" s="899"/>
      <c r="P2173" s="899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96"/>
      <c r="E2174" s="677"/>
      <c r="F2174" s="677"/>
      <c r="G2174" s="677"/>
      <c r="H2174" s="897"/>
      <c r="I2174" s="898"/>
      <c r="J2174" s="898"/>
      <c r="K2174" s="899"/>
      <c r="L2174" s="899"/>
      <c r="M2174" s="899"/>
      <c r="N2174" s="899"/>
      <c r="O2174" s="899"/>
      <c r="P2174" s="899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96"/>
      <c r="E2175" s="677"/>
      <c r="F2175" s="677"/>
      <c r="G2175" s="677"/>
      <c r="H2175" s="897"/>
      <c r="I2175" s="898"/>
      <c r="J2175" s="898"/>
      <c r="K2175" s="899"/>
      <c r="L2175" s="899"/>
      <c r="M2175" s="899"/>
      <c r="N2175" s="899"/>
      <c r="O2175" s="899"/>
      <c r="P2175" s="899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96"/>
      <c r="E2176" s="677"/>
      <c r="F2176" s="677"/>
      <c r="G2176" s="677"/>
      <c r="H2176" s="897"/>
      <c r="I2176" s="898"/>
      <c r="J2176" s="898"/>
      <c r="K2176" s="899"/>
      <c r="L2176" s="899"/>
      <c r="M2176" s="899"/>
      <c r="N2176" s="899"/>
      <c r="O2176" s="899"/>
      <c r="P2176" s="899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96"/>
      <c r="E2177" s="677"/>
      <c r="F2177" s="677"/>
      <c r="G2177" s="677"/>
      <c r="H2177" s="897"/>
      <c r="I2177" s="898"/>
      <c r="J2177" s="898"/>
      <c r="K2177" s="899"/>
      <c r="L2177" s="899"/>
      <c r="M2177" s="899"/>
      <c r="N2177" s="899"/>
      <c r="O2177" s="899"/>
      <c r="P2177" s="899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96"/>
      <c r="E2178" s="677"/>
      <c r="F2178" s="677"/>
      <c r="G2178" s="677"/>
      <c r="H2178" s="897"/>
      <c r="I2178" s="898"/>
      <c r="J2178" s="898"/>
      <c r="K2178" s="899"/>
      <c r="L2178" s="899"/>
      <c r="M2178" s="899"/>
      <c r="N2178" s="899"/>
      <c r="O2178" s="899"/>
      <c r="P2178" s="899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96"/>
      <c r="E2179" s="677"/>
      <c r="F2179" s="677"/>
      <c r="G2179" s="677"/>
      <c r="H2179" s="897"/>
      <c r="I2179" s="898"/>
      <c r="J2179" s="898"/>
      <c r="K2179" s="899"/>
      <c r="L2179" s="899"/>
      <c r="M2179" s="899"/>
      <c r="N2179" s="899"/>
      <c r="O2179" s="899"/>
      <c r="P2179" s="899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96"/>
      <c r="E2180" s="677"/>
      <c r="F2180" s="677"/>
      <c r="G2180" s="677"/>
      <c r="H2180" s="897"/>
      <c r="I2180" s="898"/>
      <c r="J2180" s="898"/>
      <c r="K2180" s="899"/>
      <c r="L2180" s="899"/>
      <c r="M2180" s="899"/>
      <c r="N2180" s="899"/>
      <c r="O2180" s="899"/>
      <c r="P2180" s="899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96"/>
      <c r="E2181" s="677"/>
      <c r="F2181" s="677"/>
      <c r="G2181" s="677"/>
      <c r="H2181" s="897"/>
      <c r="I2181" s="898"/>
      <c r="J2181" s="898"/>
      <c r="K2181" s="899"/>
      <c r="L2181" s="899"/>
      <c r="M2181" s="899"/>
      <c r="N2181" s="899"/>
      <c r="O2181" s="899"/>
      <c r="P2181" s="899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96"/>
      <c r="E2182" s="677"/>
      <c r="F2182" s="677"/>
      <c r="G2182" s="677"/>
      <c r="H2182" s="897"/>
      <c r="I2182" s="898"/>
      <c r="J2182" s="898"/>
      <c r="K2182" s="899"/>
      <c r="L2182" s="899"/>
      <c r="M2182" s="899"/>
      <c r="N2182" s="899"/>
      <c r="O2182" s="899"/>
      <c r="P2182" s="899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96"/>
      <c r="E2183" s="677"/>
      <c r="F2183" s="677"/>
      <c r="G2183" s="677"/>
      <c r="H2183" s="897"/>
      <c r="I2183" s="898"/>
      <c r="J2183" s="898"/>
      <c r="K2183" s="899"/>
      <c r="L2183" s="899"/>
      <c r="M2183" s="899"/>
      <c r="N2183" s="899"/>
      <c r="O2183" s="899"/>
      <c r="P2183" s="899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96"/>
      <c r="E2184" s="677"/>
      <c r="F2184" s="677"/>
      <c r="G2184" s="677"/>
      <c r="H2184" s="897"/>
      <c r="I2184" s="898"/>
      <c r="J2184" s="898"/>
      <c r="K2184" s="899"/>
      <c r="L2184" s="899"/>
      <c r="M2184" s="899"/>
      <c r="N2184" s="899"/>
      <c r="O2184" s="899"/>
      <c r="P2184" s="899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96"/>
      <c r="E2185" s="677"/>
      <c r="F2185" s="677"/>
      <c r="G2185" s="677"/>
      <c r="H2185" s="897"/>
      <c r="I2185" s="898"/>
      <c r="J2185" s="898"/>
      <c r="K2185" s="899"/>
      <c r="L2185" s="899"/>
      <c r="M2185" s="899"/>
      <c r="N2185" s="899"/>
      <c r="O2185" s="899"/>
      <c r="P2185" s="899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96"/>
      <c r="E2186" s="677"/>
      <c r="F2186" s="677"/>
      <c r="G2186" s="677"/>
      <c r="H2186" s="897"/>
      <c r="I2186" s="898"/>
      <c r="J2186" s="898"/>
      <c r="K2186" s="899"/>
      <c r="L2186" s="899"/>
      <c r="M2186" s="899"/>
      <c r="N2186" s="899"/>
      <c r="O2186" s="899"/>
      <c r="P2186" s="899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96"/>
      <c r="E2187" s="677"/>
      <c r="F2187" s="677"/>
      <c r="G2187" s="677"/>
      <c r="H2187" s="897"/>
      <c r="I2187" s="898"/>
      <c r="J2187" s="898"/>
      <c r="K2187" s="899"/>
      <c r="L2187" s="899"/>
      <c r="M2187" s="899"/>
      <c r="N2187" s="899"/>
      <c r="O2187" s="899"/>
      <c r="P2187" s="899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96"/>
      <c r="E2188" s="677"/>
      <c r="F2188" s="677"/>
      <c r="G2188" s="677"/>
      <c r="H2188" s="897"/>
      <c r="I2188" s="898"/>
      <c r="J2188" s="898"/>
      <c r="K2188" s="899"/>
      <c r="L2188" s="899"/>
      <c r="M2188" s="899"/>
      <c r="N2188" s="899"/>
      <c r="O2188" s="899"/>
      <c r="P2188" s="899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96"/>
      <c r="E2189" s="677"/>
      <c r="F2189" s="677"/>
      <c r="G2189" s="677"/>
      <c r="H2189" s="897"/>
      <c r="I2189" s="898"/>
      <c r="J2189" s="898"/>
      <c r="K2189" s="899"/>
      <c r="L2189" s="899"/>
      <c r="M2189" s="899"/>
      <c r="N2189" s="899"/>
      <c r="O2189" s="899"/>
      <c r="P2189" s="899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96"/>
      <c r="E2190" s="677"/>
      <c r="F2190" s="677"/>
      <c r="G2190" s="677"/>
      <c r="H2190" s="897"/>
      <c r="I2190" s="898"/>
      <c r="J2190" s="898"/>
      <c r="K2190" s="899"/>
      <c r="L2190" s="899"/>
      <c r="M2190" s="899"/>
      <c r="N2190" s="899"/>
      <c r="O2190" s="899"/>
      <c r="P2190" s="899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96"/>
      <c r="E2191" s="677"/>
      <c r="F2191" s="677"/>
      <c r="G2191" s="677"/>
      <c r="H2191" s="897"/>
      <c r="I2191" s="898"/>
      <c r="J2191" s="898"/>
      <c r="K2191" s="899"/>
      <c r="L2191" s="899"/>
      <c r="M2191" s="899"/>
      <c r="N2191" s="899"/>
      <c r="O2191" s="899"/>
      <c r="P2191" s="899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96"/>
      <c r="E2192" s="677"/>
      <c r="F2192" s="677"/>
      <c r="G2192" s="677"/>
      <c r="H2192" s="897"/>
      <c r="I2192" s="898"/>
      <c r="J2192" s="898"/>
      <c r="K2192" s="899"/>
      <c r="L2192" s="899"/>
      <c r="M2192" s="899"/>
      <c r="N2192" s="899"/>
      <c r="O2192" s="899"/>
      <c r="P2192" s="899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96"/>
      <c r="E2193" s="677"/>
      <c r="F2193" s="677"/>
      <c r="G2193" s="677"/>
      <c r="H2193" s="897"/>
      <c r="I2193" s="898"/>
      <c r="J2193" s="898"/>
      <c r="K2193" s="899"/>
      <c r="L2193" s="899"/>
      <c r="M2193" s="899"/>
      <c r="N2193" s="899"/>
      <c r="O2193" s="899"/>
      <c r="P2193" s="899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96"/>
      <c r="E2194" s="677"/>
      <c r="F2194" s="677"/>
      <c r="G2194" s="677"/>
      <c r="H2194" s="897"/>
      <c r="I2194" s="898"/>
      <c r="J2194" s="898"/>
      <c r="K2194" s="899"/>
      <c r="L2194" s="899"/>
      <c r="M2194" s="899"/>
      <c r="N2194" s="899"/>
      <c r="O2194" s="899"/>
      <c r="P2194" s="899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96"/>
      <c r="E2195" s="677"/>
      <c r="F2195" s="677"/>
      <c r="G2195" s="677"/>
      <c r="H2195" s="897"/>
      <c r="I2195" s="898"/>
      <c r="J2195" s="898"/>
      <c r="K2195" s="899"/>
      <c r="L2195" s="899"/>
      <c r="M2195" s="899"/>
      <c r="N2195" s="899"/>
      <c r="O2195" s="899"/>
      <c r="P2195" s="899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96"/>
      <c r="E2196" s="677"/>
      <c r="F2196" s="677"/>
      <c r="G2196" s="677"/>
      <c r="H2196" s="897"/>
      <c r="I2196" s="898"/>
      <c r="J2196" s="898"/>
      <c r="K2196" s="899"/>
      <c r="L2196" s="899"/>
      <c r="M2196" s="899"/>
      <c r="N2196" s="899"/>
      <c r="O2196" s="899"/>
      <c r="P2196" s="899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96"/>
      <c r="E2197" s="677"/>
      <c r="F2197" s="677"/>
      <c r="G2197" s="677"/>
      <c r="H2197" s="897"/>
      <c r="I2197" s="898"/>
      <c r="J2197" s="898"/>
      <c r="K2197" s="899"/>
      <c r="L2197" s="899"/>
      <c r="M2197" s="899"/>
      <c r="N2197" s="899"/>
      <c r="O2197" s="899"/>
      <c r="P2197" s="899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96"/>
      <c r="E2198" s="677"/>
      <c r="F2198" s="677"/>
      <c r="G2198" s="677"/>
      <c r="H2198" s="897"/>
      <c r="I2198" s="898"/>
      <c r="J2198" s="898"/>
      <c r="K2198" s="899"/>
      <c r="L2198" s="899"/>
      <c r="M2198" s="899"/>
      <c r="N2198" s="899"/>
      <c r="O2198" s="899"/>
      <c r="P2198" s="899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96"/>
      <c r="E2199" s="677"/>
      <c r="F2199" s="677"/>
      <c r="G2199" s="677"/>
      <c r="H2199" s="897"/>
      <c r="I2199" s="898"/>
      <c r="J2199" s="898"/>
      <c r="K2199" s="899"/>
      <c r="L2199" s="899"/>
      <c r="M2199" s="899"/>
      <c r="N2199" s="899"/>
      <c r="O2199" s="899"/>
      <c r="P2199" s="899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96"/>
      <c r="E2200" s="677"/>
      <c r="F2200" s="677"/>
      <c r="G2200" s="677"/>
      <c r="H2200" s="897"/>
      <c r="I2200" s="898"/>
      <c r="J2200" s="898"/>
      <c r="K2200" s="899"/>
      <c r="L2200" s="899"/>
      <c r="M2200" s="899"/>
      <c r="N2200" s="899"/>
      <c r="O2200" s="899"/>
      <c r="P2200" s="899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96"/>
      <c r="E2201" s="677"/>
      <c r="F2201" s="677"/>
      <c r="G2201" s="677"/>
      <c r="H2201" s="897"/>
      <c r="I2201" s="898"/>
      <c r="J2201" s="898"/>
      <c r="K2201" s="899"/>
      <c r="L2201" s="899"/>
      <c r="M2201" s="899"/>
      <c r="N2201" s="899"/>
      <c r="O2201" s="899"/>
      <c r="P2201" s="899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96"/>
      <c r="E2202" s="677"/>
      <c r="F2202" s="677"/>
      <c r="G2202" s="677"/>
      <c r="H2202" s="897"/>
      <c r="I2202" s="898"/>
      <c r="J2202" s="898"/>
      <c r="K2202" s="899"/>
      <c r="L2202" s="899"/>
      <c r="M2202" s="899"/>
      <c r="N2202" s="899"/>
      <c r="O2202" s="899"/>
      <c r="P2202" s="899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96"/>
      <c r="E2203" s="677"/>
      <c r="F2203" s="677"/>
      <c r="G2203" s="677"/>
      <c r="H2203" s="897"/>
      <c r="I2203" s="898"/>
      <c r="J2203" s="898"/>
      <c r="K2203" s="899"/>
      <c r="L2203" s="899"/>
      <c r="M2203" s="899"/>
      <c r="N2203" s="899"/>
      <c r="O2203" s="899"/>
      <c r="P2203" s="899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96"/>
      <c r="E2204" s="677"/>
      <c r="F2204" s="677"/>
      <c r="G2204" s="677"/>
      <c r="H2204" s="897"/>
      <c r="I2204" s="898"/>
      <c r="J2204" s="898"/>
      <c r="K2204" s="899"/>
      <c r="L2204" s="899"/>
      <c r="M2204" s="899"/>
      <c r="N2204" s="899"/>
      <c r="O2204" s="899"/>
      <c r="P2204" s="899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96"/>
      <c r="E2205" s="677"/>
      <c r="F2205" s="677"/>
      <c r="G2205" s="677"/>
      <c r="H2205" s="897"/>
      <c r="I2205" s="898"/>
      <c r="J2205" s="898"/>
      <c r="K2205" s="899"/>
      <c r="L2205" s="899"/>
      <c r="M2205" s="899"/>
      <c r="N2205" s="899"/>
      <c r="O2205" s="899"/>
      <c r="P2205" s="899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96"/>
      <c r="E2206" s="677"/>
      <c r="F2206" s="677"/>
      <c r="G2206" s="677"/>
      <c r="H2206" s="897"/>
      <c r="I2206" s="898"/>
      <c r="J2206" s="898"/>
      <c r="K2206" s="899"/>
      <c r="L2206" s="899"/>
      <c r="M2206" s="899"/>
      <c r="N2206" s="899"/>
      <c r="O2206" s="899"/>
      <c r="P2206" s="899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96"/>
      <c r="E2207" s="677"/>
      <c r="F2207" s="677"/>
      <c r="G2207" s="677"/>
      <c r="H2207" s="897"/>
      <c r="I2207" s="898"/>
      <c r="J2207" s="898"/>
      <c r="K2207" s="899"/>
      <c r="L2207" s="899"/>
      <c r="M2207" s="899"/>
      <c r="N2207" s="899"/>
      <c r="O2207" s="899"/>
      <c r="P2207" s="899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96"/>
      <c r="E2208" s="677"/>
      <c r="F2208" s="677"/>
      <c r="G2208" s="677"/>
      <c r="H2208" s="897"/>
      <c r="I2208" s="898"/>
      <c r="J2208" s="898"/>
      <c r="K2208" s="899"/>
      <c r="L2208" s="899"/>
      <c r="M2208" s="899"/>
      <c r="N2208" s="899"/>
      <c r="O2208" s="899"/>
      <c r="P2208" s="899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96"/>
      <c r="E2209" s="677"/>
      <c r="F2209" s="677"/>
      <c r="G2209" s="677"/>
      <c r="H2209" s="897"/>
      <c r="I2209" s="898"/>
      <c r="J2209" s="898"/>
      <c r="K2209" s="899"/>
      <c r="L2209" s="899"/>
      <c r="M2209" s="899"/>
      <c r="N2209" s="899"/>
      <c r="O2209" s="899"/>
      <c r="P2209" s="899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96"/>
      <c r="E2210" s="677"/>
      <c r="F2210" s="677"/>
      <c r="G2210" s="677"/>
      <c r="H2210" s="897"/>
      <c r="I2210" s="898"/>
      <c r="J2210" s="898"/>
      <c r="K2210" s="899"/>
      <c r="L2210" s="899"/>
      <c r="M2210" s="899"/>
      <c r="N2210" s="899"/>
      <c r="O2210" s="899"/>
      <c r="P2210" s="899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96"/>
      <c r="E2211" s="677"/>
      <c r="F2211" s="677"/>
      <c r="G2211" s="677"/>
      <c r="H2211" s="897"/>
      <c r="I2211" s="898"/>
      <c r="J2211" s="898"/>
      <c r="K2211" s="899"/>
      <c r="L2211" s="899"/>
      <c r="M2211" s="899"/>
      <c r="N2211" s="899"/>
      <c r="O2211" s="899"/>
      <c r="P2211" s="899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96"/>
      <c r="E2212" s="677"/>
      <c r="F2212" s="677"/>
      <c r="G2212" s="677"/>
      <c r="H2212" s="897"/>
      <c r="I2212" s="898"/>
      <c r="J2212" s="898"/>
      <c r="K2212" s="899"/>
      <c r="L2212" s="899"/>
      <c r="M2212" s="899"/>
      <c r="N2212" s="899"/>
      <c r="O2212" s="899"/>
      <c r="P2212" s="899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96"/>
      <c r="E2213" s="677"/>
      <c r="F2213" s="677"/>
      <c r="G2213" s="677"/>
      <c r="H2213" s="897"/>
      <c r="I2213" s="898"/>
      <c r="J2213" s="898"/>
      <c r="K2213" s="899"/>
      <c r="L2213" s="899"/>
      <c r="M2213" s="899"/>
      <c r="N2213" s="899"/>
      <c r="O2213" s="899"/>
      <c r="P2213" s="899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96"/>
      <c r="E2214" s="677"/>
      <c r="F2214" s="677"/>
      <c r="G2214" s="677"/>
      <c r="H2214" s="897"/>
      <c r="I2214" s="898"/>
      <c r="J2214" s="898"/>
      <c r="K2214" s="899"/>
      <c r="L2214" s="899"/>
      <c r="M2214" s="899"/>
      <c r="N2214" s="899"/>
      <c r="O2214" s="899"/>
      <c r="P2214" s="899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96"/>
      <c r="E2215" s="677"/>
      <c r="F2215" s="677"/>
      <c r="G2215" s="677"/>
      <c r="H2215" s="897"/>
      <c r="I2215" s="898"/>
      <c r="J2215" s="898"/>
      <c r="K2215" s="899"/>
      <c r="L2215" s="899"/>
      <c r="M2215" s="899"/>
      <c r="N2215" s="899"/>
      <c r="O2215" s="899"/>
      <c r="P2215" s="899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96"/>
      <c r="E2216" s="677"/>
      <c r="F2216" s="677"/>
      <c r="G2216" s="677"/>
      <c r="H2216" s="897"/>
      <c r="I2216" s="898"/>
      <c r="J2216" s="898"/>
      <c r="K2216" s="899"/>
      <c r="L2216" s="899"/>
      <c r="M2216" s="899"/>
      <c r="N2216" s="899"/>
      <c r="O2216" s="899"/>
      <c r="P2216" s="899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96"/>
      <c r="E2217" s="677"/>
      <c r="F2217" s="677"/>
      <c r="G2217" s="677"/>
      <c r="H2217" s="897"/>
      <c r="I2217" s="898"/>
      <c r="J2217" s="898"/>
      <c r="K2217" s="899"/>
      <c r="L2217" s="899"/>
      <c r="M2217" s="899"/>
      <c r="N2217" s="899"/>
      <c r="O2217" s="899"/>
      <c r="P2217" s="899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96"/>
      <c r="E2218" s="677"/>
      <c r="F2218" s="677"/>
      <c r="G2218" s="677"/>
      <c r="H2218" s="897"/>
      <c r="I2218" s="898"/>
      <c r="J2218" s="898"/>
      <c r="K2218" s="899"/>
      <c r="L2218" s="899"/>
      <c r="M2218" s="899"/>
      <c r="N2218" s="899"/>
      <c r="O2218" s="899"/>
      <c r="P2218" s="899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96"/>
      <c r="E2219" s="677"/>
      <c r="F2219" s="677"/>
      <c r="G2219" s="677"/>
      <c r="H2219" s="897"/>
      <c r="I2219" s="898"/>
      <c r="J2219" s="898"/>
      <c r="K2219" s="899"/>
      <c r="L2219" s="899"/>
      <c r="M2219" s="899"/>
      <c r="N2219" s="899"/>
      <c r="O2219" s="899"/>
      <c r="P2219" s="899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96"/>
      <c r="E2220" s="677"/>
      <c r="F2220" s="677"/>
      <c r="G2220" s="677"/>
      <c r="H2220" s="897"/>
      <c r="I2220" s="898"/>
      <c r="J2220" s="898"/>
      <c r="K2220" s="899"/>
      <c r="L2220" s="899"/>
      <c r="M2220" s="899"/>
      <c r="N2220" s="899"/>
      <c r="O2220" s="899"/>
      <c r="P2220" s="899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96"/>
      <c r="E2221" s="677"/>
      <c r="F2221" s="677"/>
      <c r="G2221" s="677"/>
      <c r="H2221" s="897"/>
      <c r="I2221" s="898"/>
      <c r="J2221" s="898"/>
      <c r="K2221" s="899"/>
      <c r="L2221" s="899"/>
      <c r="M2221" s="899"/>
      <c r="N2221" s="899"/>
      <c r="O2221" s="899"/>
      <c r="P2221" s="899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96"/>
      <c r="E2222" s="677"/>
      <c r="F2222" s="677"/>
      <c r="G2222" s="677"/>
      <c r="H2222" s="897"/>
      <c r="I2222" s="898"/>
      <c r="J2222" s="898"/>
      <c r="K2222" s="899"/>
      <c r="L2222" s="899"/>
      <c r="M2222" s="899"/>
      <c r="N2222" s="899"/>
      <c r="O2222" s="899"/>
      <c r="P2222" s="899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96"/>
      <c r="E2223" s="677"/>
      <c r="F2223" s="677"/>
      <c r="G2223" s="677"/>
      <c r="H2223" s="897"/>
      <c r="I2223" s="898"/>
      <c r="J2223" s="898"/>
      <c r="K2223" s="899"/>
      <c r="L2223" s="899"/>
      <c r="M2223" s="899"/>
      <c r="N2223" s="899"/>
      <c r="O2223" s="899"/>
      <c r="P2223" s="899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96"/>
      <c r="E2224" s="677"/>
      <c r="F2224" s="677"/>
      <c r="G2224" s="677"/>
      <c r="H2224" s="897"/>
      <c r="I2224" s="898"/>
      <c r="J2224" s="898"/>
      <c r="K2224" s="899"/>
      <c r="L2224" s="899"/>
      <c r="M2224" s="899"/>
      <c r="N2224" s="899"/>
      <c r="O2224" s="899"/>
      <c r="P2224" s="899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96"/>
      <c r="E2225" s="677"/>
      <c r="F2225" s="677"/>
      <c r="G2225" s="677"/>
      <c r="H2225" s="897"/>
      <c r="I2225" s="898"/>
      <c r="J2225" s="898"/>
      <c r="K2225" s="899"/>
      <c r="L2225" s="899"/>
      <c r="M2225" s="899"/>
      <c r="N2225" s="899"/>
      <c r="O2225" s="899"/>
      <c r="P2225" s="899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96"/>
      <c r="E2226" s="677"/>
      <c r="F2226" s="677"/>
      <c r="G2226" s="677"/>
      <c r="H2226" s="897"/>
      <c r="I2226" s="898"/>
      <c r="J2226" s="898"/>
      <c r="K2226" s="899"/>
      <c r="L2226" s="899"/>
      <c r="M2226" s="899"/>
      <c r="N2226" s="899"/>
      <c r="O2226" s="899"/>
      <c r="P2226" s="899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96"/>
      <c r="E2227" s="677"/>
      <c r="F2227" s="677"/>
      <c r="G2227" s="677"/>
      <c r="H2227" s="897"/>
      <c r="I2227" s="898"/>
      <c r="J2227" s="898"/>
      <c r="K2227" s="899"/>
      <c r="L2227" s="899"/>
      <c r="M2227" s="899"/>
      <c r="N2227" s="899"/>
      <c r="O2227" s="899"/>
      <c r="P2227" s="899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96"/>
      <c r="E2228" s="677"/>
      <c r="F2228" s="677"/>
      <c r="G2228" s="677"/>
      <c r="H2228" s="897"/>
      <c r="I2228" s="898"/>
      <c r="J2228" s="898"/>
      <c r="K2228" s="899"/>
      <c r="L2228" s="899"/>
      <c r="M2228" s="899"/>
      <c r="N2228" s="899"/>
      <c r="O2228" s="899"/>
      <c r="P2228" s="899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96"/>
      <c r="E2229" s="677"/>
      <c r="F2229" s="677"/>
      <c r="G2229" s="677"/>
      <c r="H2229" s="897"/>
      <c r="I2229" s="898"/>
      <c r="J2229" s="898"/>
      <c r="K2229" s="899"/>
      <c r="L2229" s="899"/>
      <c r="M2229" s="899"/>
      <c r="N2229" s="899"/>
      <c r="O2229" s="899"/>
      <c r="P2229" s="899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96"/>
      <c r="E2230" s="677"/>
      <c r="F2230" s="677"/>
      <c r="G2230" s="677"/>
      <c r="H2230" s="897"/>
      <c r="I2230" s="898"/>
      <c r="J2230" s="898"/>
      <c r="K2230" s="899"/>
      <c r="L2230" s="899"/>
      <c r="M2230" s="899"/>
      <c r="N2230" s="899"/>
      <c r="O2230" s="899"/>
      <c r="P2230" s="899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96"/>
      <c r="E2231" s="677"/>
      <c r="F2231" s="677"/>
      <c r="G2231" s="677"/>
      <c r="H2231" s="897"/>
      <c r="I2231" s="898"/>
      <c r="J2231" s="898"/>
      <c r="K2231" s="899"/>
      <c r="L2231" s="899"/>
      <c r="M2231" s="899"/>
      <c r="N2231" s="899"/>
      <c r="O2231" s="899"/>
      <c r="P2231" s="899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96"/>
      <c r="E2232" s="677"/>
      <c r="F2232" s="677"/>
      <c r="G2232" s="677"/>
      <c r="H2232" s="897"/>
      <c r="I2232" s="898"/>
      <c r="J2232" s="898"/>
      <c r="K2232" s="899"/>
      <c r="L2232" s="899"/>
      <c r="M2232" s="899"/>
      <c r="N2232" s="899"/>
      <c r="O2232" s="899"/>
      <c r="P2232" s="899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96"/>
      <c r="E2233" s="677"/>
      <c r="F2233" s="677"/>
      <c r="G2233" s="677"/>
      <c r="H2233" s="897"/>
      <c r="I2233" s="898"/>
      <c r="J2233" s="898"/>
      <c r="K2233" s="899"/>
      <c r="L2233" s="899"/>
      <c r="M2233" s="899"/>
      <c r="N2233" s="899"/>
      <c r="O2233" s="899"/>
      <c r="P2233" s="899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96"/>
      <c r="E2234" s="677"/>
      <c r="F2234" s="677"/>
      <c r="G2234" s="677"/>
      <c r="H2234" s="897"/>
      <c r="I2234" s="898"/>
      <c r="J2234" s="898"/>
      <c r="K2234" s="899"/>
      <c r="L2234" s="899"/>
      <c r="M2234" s="899"/>
      <c r="N2234" s="899"/>
      <c r="O2234" s="899"/>
      <c r="P2234" s="899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96"/>
      <c r="E2235" s="677"/>
      <c r="F2235" s="677"/>
      <c r="G2235" s="677"/>
      <c r="H2235" s="897"/>
      <c r="I2235" s="898"/>
      <c r="J2235" s="898"/>
      <c r="K2235" s="899"/>
      <c r="L2235" s="899"/>
      <c r="M2235" s="899"/>
      <c r="N2235" s="899"/>
      <c r="O2235" s="899"/>
      <c r="P2235" s="899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96"/>
      <c r="E2236" s="677"/>
      <c r="F2236" s="677"/>
      <c r="G2236" s="677"/>
      <c r="H2236" s="897"/>
      <c r="I2236" s="898"/>
      <c r="J2236" s="898"/>
      <c r="K2236" s="899"/>
      <c r="L2236" s="899"/>
      <c r="M2236" s="899"/>
      <c r="N2236" s="899"/>
      <c r="O2236" s="899"/>
      <c r="P2236" s="899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96"/>
      <c r="E2237" s="677"/>
      <c r="F2237" s="677"/>
      <c r="G2237" s="677"/>
      <c r="H2237" s="897"/>
      <c r="I2237" s="898"/>
      <c r="J2237" s="898"/>
      <c r="K2237" s="899"/>
      <c r="L2237" s="899"/>
      <c r="M2237" s="899"/>
      <c r="N2237" s="899"/>
      <c r="O2237" s="899"/>
      <c r="P2237" s="899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96"/>
      <c r="E2238" s="677"/>
      <c r="F2238" s="677"/>
      <c r="G2238" s="677"/>
      <c r="H2238" s="897"/>
      <c r="I2238" s="898"/>
      <c r="J2238" s="898"/>
      <c r="K2238" s="899"/>
      <c r="L2238" s="899"/>
      <c r="M2238" s="899"/>
      <c r="N2238" s="899"/>
      <c r="O2238" s="899"/>
      <c r="P2238" s="899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96"/>
      <c r="E2239" s="677"/>
      <c r="F2239" s="677"/>
      <c r="G2239" s="677"/>
      <c r="H2239" s="897"/>
      <c r="I2239" s="898"/>
      <c r="J2239" s="898"/>
      <c r="K2239" s="899"/>
      <c r="L2239" s="899"/>
      <c r="M2239" s="899"/>
      <c r="N2239" s="899"/>
      <c r="O2239" s="899"/>
      <c r="P2239" s="899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96"/>
      <c r="E2240" s="677"/>
      <c r="F2240" s="677"/>
      <c r="G2240" s="677"/>
      <c r="H2240" s="897"/>
      <c r="I2240" s="898"/>
      <c r="J2240" s="898"/>
      <c r="K2240" s="899"/>
      <c r="L2240" s="899"/>
      <c r="M2240" s="899"/>
      <c r="N2240" s="899"/>
      <c r="O2240" s="899"/>
      <c r="P2240" s="899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96"/>
      <c r="E2241" s="677"/>
      <c r="F2241" s="677"/>
      <c r="G2241" s="677"/>
      <c r="H2241" s="897"/>
      <c r="I2241" s="898"/>
      <c r="J2241" s="898"/>
      <c r="K2241" s="899"/>
      <c r="L2241" s="899"/>
      <c r="M2241" s="899"/>
      <c r="N2241" s="899"/>
      <c r="O2241" s="899"/>
      <c r="P2241" s="899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96"/>
      <c r="E2242" s="677"/>
      <c r="F2242" s="677"/>
      <c r="G2242" s="677"/>
      <c r="H2242" s="897"/>
      <c r="I2242" s="898"/>
      <c r="J2242" s="898"/>
      <c r="K2242" s="899"/>
      <c r="L2242" s="899"/>
      <c r="M2242" s="899"/>
      <c r="N2242" s="899"/>
      <c r="O2242" s="899"/>
      <c r="P2242" s="899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96"/>
      <c r="E2243" s="677"/>
      <c r="F2243" s="677"/>
      <c r="G2243" s="677"/>
      <c r="H2243" s="897"/>
      <c r="I2243" s="898"/>
      <c r="J2243" s="898"/>
      <c r="K2243" s="899"/>
      <c r="L2243" s="899"/>
      <c r="M2243" s="899"/>
      <c r="N2243" s="899"/>
      <c r="O2243" s="899"/>
      <c r="P2243" s="899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96"/>
      <c r="E2244" s="677"/>
      <c r="F2244" s="677"/>
      <c r="G2244" s="677"/>
      <c r="H2244" s="897"/>
      <c r="I2244" s="898"/>
      <c r="J2244" s="898"/>
      <c r="K2244" s="899"/>
      <c r="L2244" s="899"/>
      <c r="M2244" s="899"/>
      <c r="N2244" s="899"/>
      <c r="O2244" s="899"/>
      <c r="P2244" s="899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96"/>
      <c r="E2245" s="677"/>
      <c r="F2245" s="677"/>
      <c r="G2245" s="677"/>
      <c r="H2245" s="897"/>
      <c r="I2245" s="898"/>
      <c r="J2245" s="898"/>
      <c r="K2245" s="899"/>
      <c r="L2245" s="899"/>
      <c r="M2245" s="899"/>
      <c r="N2245" s="899"/>
      <c r="O2245" s="899"/>
      <c r="P2245" s="899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96"/>
      <c r="E2246" s="677"/>
      <c r="F2246" s="677"/>
      <c r="G2246" s="677"/>
      <c r="H2246" s="897"/>
      <c r="I2246" s="898"/>
      <c r="J2246" s="898"/>
      <c r="K2246" s="899"/>
      <c r="L2246" s="899"/>
      <c r="M2246" s="899"/>
      <c r="N2246" s="899"/>
      <c r="O2246" s="899"/>
      <c r="P2246" s="899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96"/>
      <c r="E2247" s="677"/>
      <c r="F2247" s="677"/>
      <c r="G2247" s="677"/>
      <c r="H2247" s="897"/>
      <c r="I2247" s="898"/>
      <c r="J2247" s="898"/>
      <c r="K2247" s="899"/>
      <c r="L2247" s="899"/>
      <c r="M2247" s="899"/>
      <c r="N2247" s="899"/>
      <c r="O2247" s="899"/>
      <c r="P2247" s="899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96"/>
      <c r="E2248" s="677"/>
      <c r="F2248" s="677"/>
      <c r="G2248" s="677"/>
      <c r="H2248" s="897"/>
      <c r="I2248" s="898"/>
      <c r="J2248" s="898"/>
      <c r="K2248" s="899"/>
      <c r="L2248" s="899"/>
      <c r="M2248" s="899"/>
      <c r="N2248" s="899"/>
      <c r="O2248" s="899"/>
      <c r="P2248" s="899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96"/>
      <c r="E2249" s="677"/>
      <c r="F2249" s="677"/>
      <c r="G2249" s="677"/>
      <c r="H2249" s="897"/>
      <c r="I2249" s="898"/>
      <c r="J2249" s="898"/>
      <c r="K2249" s="899"/>
      <c r="L2249" s="899"/>
      <c r="M2249" s="899"/>
      <c r="N2249" s="899"/>
      <c r="O2249" s="899"/>
      <c r="P2249" s="899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96"/>
      <c r="E2250" s="677"/>
      <c r="F2250" s="677"/>
      <c r="G2250" s="677"/>
      <c r="H2250" s="897"/>
      <c r="I2250" s="898"/>
      <c r="J2250" s="898"/>
      <c r="K2250" s="899"/>
      <c r="L2250" s="899"/>
      <c r="M2250" s="899"/>
      <c r="N2250" s="899"/>
      <c r="O2250" s="899"/>
      <c r="P2250" s="899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96"/>
      <c r="E2251" s="677"/>
      <c r="F2251" s="677"/>
      <c r="G2251" s="677"/>
      <c r="H2251" s="897"/>
      <c r="I2251" s="898"/>
      <c r="J2251" s="898"/>
      <c r="K2251" s="899"/>
      <c r="L2251" s="899"/>
      <c r="M2251" s="899"/>
      <c r="N2251" s="899"/>
      <c r="O2251" s="899"/>
      <c r="P2251" s="899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96"/>
      <c r="E2252" s="677"/>
      <c r="F2252" s="677"/>
      <c r="G2252" s="677"/>
      <c r="H2252" s="897"/>
      <c r="I2252" s="898"/>
      <c r="J2252" s="898"/>
      <c r="K2252" s="899"/>
      <c r="L2252" s="899"/>
      <c r="M2252" s="899"/>
      <c r="N2252" s="899"/>
      <c r="O2252" s="899"/>
      <c r="P2252" s="899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96"/>
      <c r="E2253" s="677"/>
      <c r="F2253" s="677"/>
      <c r="G2253" s="677"/>
      <c r="H2253" s="897"/>
      <c r="I2253" s="898"/>
      <c r="J2253" s="898"/>
      <c r="K2253" s="899"/>
      <c r="L2253" s="899"/>
      <c r="M2253" s="899"/>
      <c r="N2253" s="899"/>
      <c r="O2253" s="899"/>
      <c r="P2253" s="899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96"/>
      <c r="E2254" s="677"/>
      <c r="F2254" s="677"/>
      <c r="G2254" s="677"/>
      <c r="H2254" s="897"/>
      <c r="I2254" s="898"/>
      <c r="J2254" s="898"/>
      <c r="K2254" s="899"/>
      <c r="L2254" s="899"/>
      <c r="M2254" s="899"/>
      <c r="N2254" s="899"/>
      <c r="O2254" s="899"/>
      <c r="P2254" s="899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96"/>
      <c r="E2255" s="677"/>
      <c r="F2255" s="677"/>
      <c r="G2255" s="677"/>
      <c r="H2255" s="897"/>
      <c r="I2255" s="898"/>
      <c r="J2255" s="898"/>
      <c r="K2255" s="899"/>
      <c r="L2255" s="899"/>
      <c r="M2255" s="899"/>
      <c r="N2255" s="899"/>
      <c r="O2255" s="899"/>
      <c r="P2255" s="899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96"/>
      <c r="E2256" s="677"/>
      <c r="F2256" s="677"/>
      <c r="G2256" s="677"/>
      <c r="H2256" s="897"/>
      <c r="I2256" s="898"/>
      <c r="J2256" s="898"/>
      <c r="K2256" s="899"/>
      <c r="L2256" s="899"/>
      <c r="M2256" s="899"/>
      <c r="N2256" s="899"/>
      <c r="O2256" s="899"/>
      <c r="P2256" s="899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96"/>
      <c r="E2257" s="677"/>
      <c r="F2257" s="677"/>
      <c r="G2257" s="677"/>
      <c r="H2257" s="897"/>
      <c r="I2257" s="898"/>
      <c r="J2257" s="898"/>
      <c r="K2257" s="899"/>
      <c r="L2257" s="899"/>
      <c r="M2257" s="899"/>
      <c r="N2257" s="899"/>
      <c r="O2257" s="899"/>
      <c r="P2257" s="899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96"/>
      <c r="E2258" s="677"/>
      <c r="F2258" s="677"/>
      <c r="G2258" s="677"/>
      <c r="H2258" s="897"/>
      <c r="I2258" s="898"/>
      <c r="J2258" s="898"/>
      <c r="K2258" s="899"/>
      <c r="L2258" s="899"/>
      <c r="M2258" s="899"/>
      <c r="N2258" s="899"/>
      <c r="O2258" s="899"/>
      <c r="P2258" s="899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96"/>
      <c r="E2259" s="677"/>
      <c r="F2259" s="677"/>
      <c r="G2259" s="677"/>
      <c r="H2259" s="897"/>
      <c r="I2259" s="898"/>
      <c r="J2259" s="898"/>
      <c r="K2259" s="899"/>
      <c r="L2259" s="899"/>
      <c r="M2259" s="899"/>
      <c r="N2259" s="899"/>
      <c r="O2259" s="899"/>
      <c r="P2259" s="899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96"/>
      <c r="E2260" s="677"/>
      <c r="F2260" s="677"/>
      <c r="G2260" s="677"/>
      <c r="H2260" s="897"/>
      <c r="I2260" s="898"/>
      <c r="J2260" s="898"/>
      <c r="K2260" s="899"/>
      <c r="L2260" s="899"/>
      <c r="M2260" s="899"/>
      <c r="N2260" s="899"/>
      <c r="O2260" s="899"/>
      <c r="P2260" s="899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96"/>
      <c r="E2261" s="677"/>
      <c r="F2261" s="677"/>
      <c r="G2261" s="677"/>
      <c r="H2261" s="897"/>
      <c r="I2261" s="898"/>
      <c r="J2261" s="898"/>
      <c r="K2261" s="899"/>
      <c r="L2261" s="899"/>
      <c r="M2261" s="899"/>
      <c r="N2261" s="899"/>
      <c r="O2261" s="899"/>
      <c r="P2261" s="899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96"/>
      <c r="E2262" s="677"/>
      <c r="F2262" s="677"/>
      <c r="G2262" s="677"/>
      <c r="H2262" s="897"/>
      <c r="I2262" s="898"/>
      <c r="J2262" s="898"/>
      <c r="K2262" s="899"/>
      <c r="L2262" s="899"/>
      <c r="M2262" s="899"/>
      <c r="N2262" s="899"/>
      <c r="O2262" s="899"/>
      <c r="P2262" s="899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96"/>
      <c r="E2263" s="677"/>
      <c r="F2263" s="677"/>
      <c r="G2263" s="677"/>
      <c r="H2263" s="897"/>
      <c r="I2263" s="898"/>
      <c r="J2263" s="898"/>
      <c r="K2263" s="899"/>
      <c r="L2263" s="899"/>
      <c r="M2263" s="899"/>
      <c r="N2263" s="899"/>
      <c r="O2263" s="899"/>
      <c r="P2263" s="899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96"/>
      <c r="E2264" s="677"/>
      <c r="F2264" s="677"/>
      <c r="G2264" s="677"/>
      <c r="H2264" s="897"/>
      <c r="I2264" s="898"/>
      <c r="J2264" s="898"/>
      <c r="K2264" s="899"/>
      <c r="L2264" s="899"/>
      <c r="M2264" s="899"/>
      <c r="N2264" s="899"/>
      <c r="O2264" s="899"/>
      <c r="P2264" s="899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96"/>
      <c r="E2265" s="677"/>
      <c r="F2265" s="677"/>
      <c r="G2265" s="677"/>
      <c r="H2265" s="897"/>
      <c r="I2265" s="898"/>
      <c r="J2265" s="898"/>
      <c r="K2265" s="899"/>
      <c r="L2265" s="899"/>
      <c r="M2265" s="899"/>
      <c r="N2265" s="899"/>
      <c r="O2265" s="899"/>
      <c r="P2265" s="899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96"/>
      <c r="E2266" s="677"/>
      <c r="F2266" s="677"/>
      <c r="G2266" s="677"/>
      <c r="H2266" s="897"/>
      <c r="I2266" s="898"/>
      <c r="J2266" s="898"/>
      <c r="K2266" s="899"/>
      <c r="L2266" s="899"/>
      <c r="M2266" s="899"/>
      <c r="N2266" s="899"/>
      <c r="O2266" s="899"/>
      <c r="P2266" s="899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96"/>
      <c r="E2267" s="677"/>
      <c r="F2267" s="677"/>
      <c r="G2267" s="677"/>
      <c r="H2267" s="897"/>
      <c r="I2267" s="898"/>
      <c r="J2267" s="898"/>
      <c r="K2267" s="899"/>
      <c r="L2267" s="899"/>
      <c r="M2267" s="899"/>
      <c r="N2267" s="899"/>
      <c r="O2267" s="899"/>
      <c r="P2267" s="899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96"/>
      <c r="E2268" s="677"/>
      <c r="F2268" s="677"/>
      <c r="G2268" s="677"/>
      <c r="H2268" s="897"/>
      <c r="I2268" s="898"/>
      <c r="J2268" s="898"/>
      <c r="K2268" s="899"/>
      <c r="L2268" s="899"/>
      <c r="M2268" s="899"/>
      <c r="N2268" s="899"/>
      <c r="O2268" s="899"/>
      <c r="P2268" s="899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96"/>
      <c r="E2269" s="677"/>
      <c r="F2269" s="677"/>
      <c r="G2269" s="677"/>
      <c r="H2269" s="897"/>
      <c r="I2269" s="898"/>
      <c r="J2269" s="898"/>
      <c r="K2269" s="899"/>
      <c r="L2269" s="899"/>
      <c r="M2269" s="899"/>
      <c r="N2269" s="899"/>
      <c r="O2269" s="899"/>
      <c r="P2269" s="899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96"/>
      <c r="E2270" s="677"/>
      <c r="F2270" s="677"/>
      <c r="G2270" s="677"/>
      <c r="H2270" s="897"/>
      <c r="I2270" s="898"/>
      <c r="J2270" s="898"/>
      <c r="K2270" s="899"/>
      <c r="L2270" s="899"/>
      <c r="M2270" s="899"/>
      <c r="N2270" s="899"/>
      <c r="O2270" s="899"/>
      <c r="P2270" s="899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96"/>
      <c r="E2271" s="677"/>
      <c r="F2271" s="677"/>
      <c r="G2271" s="677"/>
      <c r="H2271" s="897"/>
      <c r="I2271" s="898"/>
      <c r="J2271" s="898"/>
      <c r="K2271" s="899"/>
      <c r="L2271" s="899"/>
      <c r="M2271" s="899"/>
      <c r="N2271" s="899"/>
      <c r="O2271" s="899"/>
      <c r="P2271" s="899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96"/>
      <c r="E2272" s="677"/>
      <c r="F2272" s="677"/>
      <c r="G2272" s="677"/>
      <c r="H2272" s="897"/>
      <c r="I2272" s="898"/>
      <c r="J2272" s="898"/>
      <c r="K2272" s="899"/>
      <c r="L2272" s="899"/>
      <c r="M2272" s="899"/>
      <c r="N2272" s="899"/>
      <c r="O2272" s="899"/>
      <c r="P2272" s="899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96"/>
      <c r="E2273" s="677"/>
      <c r="F2273" s="677"/>
      <c r="G2273" s="677"/>
      <c r="H2273" s="897"/>
      <c r="I2273" s="898"/>
      <c r="J2273" s="898"/>
      <c r="K2273" s="899"/>
      <c r="L2273" s="899"/>
      <c r="M2273" s="899"/>
      <c r="N2273" s="899"/>
      <c r="O2273" s="899"/>
      <c r="P2273" s="899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96"/>
      <c r="E2274" s="677"/>
      <c r="F2274" s="677"/>
      <c r="G2274" s="677"/>
      <c r="H2274" s="897"/>
      <c r="I2274" s="898"/>
      <c r="J2274" s="898"/>
      <c r="K2274" s="899"/>
      <c r="L2274" s="899"/>
      <c r="M2274" s="899"/>
      <c r="N2274" s="899"/>
      <c r="O2274" s="899"/>
      <c r="P2274" s="899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96"/>
      <c r="E2275" s="677"/>
      <c r="F2275" s="677"/>
      <c r="G2275" s="677"/>
      <c r="H2275" s="897"/>
      <c r="I2275" s="898"/>
      <c r="J2275" s="898"/>
      <c r="K2275" s="899"/>
      <c r="L2275" s="899"/>
      <c r="M2275" s="899"/>
      <c r="N2275" s="899"/>
      <c r="O2275" s="899"/>
      <c r="P2275" s="899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96"/>
      <c r="E2276" s="677"/>
      <c r="F2276" s="677"/>
      <c r="G2276" s="677"/>
      <c r="H2276" s="897"/>
      <c r="I2276" s="898"/>
      <c r="J2276" s="898"/>
      <c r="K2276" s="899"/>
      <c r="L2276" s="899"/>
      <c r="M2276" s="899"/>
      <c r="N2276" s="899"/>
      <c r="O2276" s="899"/>
      <c r="P2276" s="899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96"/>
      <c r="E2277" s="677"/>
      <c r="F2277" s="677"/>
      <c r="G2277" s="677"/>
      <c r="H2277" s="897"/>
      <c r="I2277" s="898"/>
      <c r="J2277" s="898"/>
      <c r="K2277" s="899"/>
      <c r="L2277" s="899"/>
      <c r="M2277" s="899"/>
      <c r="N2277" s="899"/>
      <c r="O2277" s="899"/>
      <c r="P2277" s="899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96"/>
      <c r="E2278" s="677"/>
      <c r="F2278" s="677"/>
      <c r="G2278" s="677"/>
      <c r="H2278" s="897"/>
      <c r="I2278" s="898"/>
      <c r="J2278" s="898"/>
      <c r="K2278" s="899"/>
      <c r="L2278" s="899"/>
      <c r="M2278" s="899"/>
      <c r="N2278" s="899"/>
      <c r="O2278" s="899"/>
      <c r="P2278" s="899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96"/>
      <c r="E2279" s="677"/>
      <c r="F2279" s="677"/>
      <c r="G2279" s="677"/>
      <c r="H2279" s="897"/>
      <c r="I2279" s="898"/>
      <c r="J2279" s="898"/>
      <c r="K2279" s="899"/>
      <c r="L2279" s="899"/>
      <c r="M2279" s="899"/>
      <c r="N2279" s="899"/>
      <c r="O2279" s="899"/>
      <c r="P2279" s="899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96"/>
      <c r="E2280" s="677"/>
      <c r="F2280" s="677"/>
      <c r="G2280" s="677"/>
      <c r="H2280" s="897"/>
      <c r="I2280" s="898"/>
      <c r="J2280" s="898"/>
      <c r="K2280" s="899"/>
      <c r="L2280" s="899"/>
      <c r="M2280" s="899"/>
      <c r="N2280" s="899"/>
      <c r="O2280" s="899"/>
      <c r="P2280" s="899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96"/>
      <c r="E2281" s="677"/>
      <c r="F2281" s="677"/>
      <c r="G2281" s="677"/>
      <c r="H2281" s="897"/>
      <c r="I2281" s="898"/>
      <c r="J2281" s="898"/>
      <c r="K2281" s="899"/>
      <c r="L2281" s="899"/>
      <c r="M2281" s="899"/>
      <c r="N2281" s="899"/>
      <c r="O2281" s="899"/>
      <c r="P2281" s="899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96"/>
      <c r="E2282" s="677"/>
      <c r="F2282" s="677"/>
      <c r="G2282" s="677"/>
      <c r="H2282" s="897"/>
      <c r="I2282" s="898"/>
      <c r="J2282" s="898"/>
      <c r="K2282" s="899"/>
      <c r="L2282" s="899"/>
      <c r="M2282" s="899"/>
      <c r="N2282" s="899"/>
      <c r="O2282" s="899"/>
      <c r="P2282" s="899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96"/>
      <c r="E2283" s="677"/>
      <c r="F2283" s="677"/>
      <c r="G2283" s="677"/>
      <c r="H2283" s="897"/>
      <c r="I2283" s="898"/>
      <c r="J2283" s="898"/>
      <c r="K2283" s="899"/>
      <c r="L2283" s="899"/>
      <c r="M2283" s="899"/>
      <c r="N2283" s="899"/>
      <c r="O2283" s="899"/>
      <c r="P2283" s="899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96"/>
      <c r="E2284" s="677"/>
      <c r="F2284" s="677"/>
      <c r="G2284" s="677"/>
      <c r="H2284" s="897"/>
      <c r="I2284" s="898"/>
      <c r="J2284" s="898"/>
      <c r="K2284" s="899"/>
      <c r="L2284" s="899"/>
      <c r="M2284" s="899"/>
      <c r="N2284" s="899"/>
      <c r="O2284" s="899"/>
      <c r="P2284" s="899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96"/>
      <c r="E2285" s="677"/>
      <c r="F2285" s="677"/>
      <c r="G2285" s="677"/>
      <c r="H2285" s="897"/>
      <c r="I2285" s="898"/>
      <c r="J2285" s="898"/>
      <c r="K2285" s="899"/>
      <c r="L2285" s="899"/>
      <c r="M2285" s="899"/>
      <c r="N2285" s="899"/>
      <c r="O2285" s="899"/>
      <c r="P2285" s="899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96"/>
      <c r="E2286" s="677"/>
      <c r="F2286" s="677"/>
      <c r="G2286" s="677"/>
      <c r="H2286" s="897"/>
      <c r="I2286" s="898"/>
      <c r="J2286" s="898"/>
      <c r="K2286" s="899"/>
      <c r="L2286" s="899"/>
      <c r="M2286" s="899"/>
      <c r="N2286" s="899"/>
      <c r="O2286" s="899"/>
      <c r="P2286" s="899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96"/>
      <c r="E2287" s="677"/>
      <c r="F2287" s="677"/>
      <c r="G2287" s="677"/>
      <c r="H2287" s="897"/>
      <c r="I2287" s="898"/>
      <c r="J2287" s="898"/>
      <c r="K2287" s="899"/>
      <c r="L2287" s="899"/>
      <c r="M2287" s="899"/>
      <c r="N2287" s="899"/>
      <c r="O2287" s="899"/>
      <c r="P2287" s="899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96"/>
      <c r="E2288" s="677"/>
      <c r="F2288" s="677"/>
      <c r="G2288" s="677"/>
      <c r="H2288" s="897"/>
      <c r="I2288" s="898"/>
      <c r="J2288" s="898"/>
      <c r="K2288" s="899"/>
      <c r="L2288" s="899"/>
      <c r="M2288" s="899"/>
      <c r="N2288" s="899"/>
      <c r="O2288" s="899"/>
      <c r="P2288" s="899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96"/>
      <c r="E2289" s="677"/>
      <c r="F2289" s="677"/>
      <c r="G2289" s="677"/>
      <c r="H2289" s="897"/>
      <c r="I2289" s="898"/>
      <c r="J2289" s="898"/>
      <c r="K2289" s="899"/>
      <c r="L2289" s="899"/>
      <c r="M2289" s="899"/>
      <c r="N2289" s="899"/>
      <c r="O2289" s="899"/>
      <c r="P2289" s="899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96"/>
      <c r="E2290" s="677"/>
      <c r="F2290" s="677"/>
      <c r="G2290" s="677"/>
      <c r="H2290" s="897"/>
      <c r="I2290" s="898"/>
      <c r="J2290" s="898"/>
      <c r="K2290" s="899"/>
      <c r="L2290" s="899"/>
      <c r="M2290" s="899"/>
      <c r="N2290" s="899"/>
      <c r="O2290" s="899"/>
      <c r="P2290" s="899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96"/>
      <c r="E2291" s="677"/>
      <c r="F2291" s="677"/>
      <c r="G2291" s="677"/>
      <c r="H2291" s="897"/>
      <c r="I2291" s="898"/>
      <c r="J2291" s="898"/>
      <c r="K2291" s="899"/>
      <c r="L2291" s="899"/>
      <c r="M2291" s="899"/>
      <c r="N2291" s="899"/>
      <c r="O2291" s="899"/>
      <c r="P2291" s="899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96"/>
      <c r="E2292" s="677"/>
      <c r="F2292" s="677"/>
      <c r="G2292" s="677"/>
      <c r="H2292" s="897"/>
      <c r="I2292" s="898"/>
      <c r="J2292" s="898"/>
      <c r="K2292" s="899"/>
      <c r="L2292" s="899"/>
      <c r="M2292" s="899"/>
      <c r="N2292" s="899"/>
      <c r="O2292" s="899"/>
      <c r="P2292" s="899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96"/>
      <c r="E2293" s="677"/>
      <c r="F2293" s="677"/>
      <c r="G2293" s="677"/>
      <c r="H2293" s="897"/>
      <c r="I2293" s="898"/>
      <c r="J2293" s="898"/>
      <c r="K2293" s="899"/>
      <c r="L2293" s="899"/>
      <c r="M2293" s="899"/>
      <c r="N2293" s="899"/>
      <c r="O2293" s="899"/>
      <c r="P2293" s="899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96"/>
      <c r="E2294" s="677"/>
      <c r="F2294" s="677"/>
      <c r="G2294" s="677"/>
      <c r="H2294" s="897"/>
      <c r="I2294" s="898"/>
      <c r="J2294" s="898"/>
      <c r="K2294" s="899"/>
      <c r="L2294" s="899"/>
      <c r="M2294" s="899"/>
      <c r="N2294" s="899"/>
      <c r="O2294" s="899"/>
      <c r="P2294" s="899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96"/>
      <c r="E2295" s="677"/>
      <c r="F2295" s="677"/>
      <c r="G2295" s="677"/>
      <c r="H2295" s="897"/>
      <c r="I2295" s="898"/>
      <c r="J2295" s="898"/>
      <c r="K2295" s="899"/>
      <c r="L2295" s="899"/>
      <c r="M2295" s="899"/>
      <c r="N2295" s="899"/>
      <c r="O2295" s="899"/>
      <c r="P2295" s="899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96"/>
      <c r="E2296" s="677"/>
      <c r="F2296" s="677"/>
      <c r="G2296" s="677"/>
      <c r="H2296" s="897"/>
      <c r="I2296" s="898"/>
      <c r="J2296" s="898"/>
      <c r="K2296" s="899"/>
      <c r="L2296" s="899"/>
      <c r="M2296" s="899"/>
      <c r="N2296" s="899"/>
      <c r="O2296" s="899"/>
      <c r="P2296" s="899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96"/>
      <c r="E2297" s="677"/>
      <c r="F2297" s="677"/>
      <c r="G2297" s="677"/>
      <c r="H2297" s="897"/>
      <c r="I2297" s="898"/>
      <c r="J2297" s="898"/>
      <c r="K2297" s="899"/>
      <c r="L2297" s="899"/>
      <c r="M2297" s="899"/>
      <c r="N2297" s="899"/>
      <c r="O2297" s="899"/>
      <c r="P2297" s="899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96"/>
      <c r="E2298" s="677"/>
      <c r="F2298" s="677"/>
      <c r="G2298" s="677"/>
      <c r="H2298" s="897"/>
      <c r="I2298" s="898"/>
      <c r="J2298" s="898"/>
      <c r="K2298" s="899"/>
      <c r="L2298" s="899"/>
      <c r="M2298" s="899"/>
      <c r="N2298" s="899"/>
      <c r="O2298" s="899"/>
      <c r="P2298" s="899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96"/>
      <c r="E2299" s="677"/>
      <c r="F2299" s="677"/>
      <c r="G2299" s="677"/>
      <c r="H2299" s="897"/>
      <c r="I2299" s="898"/>
      <c r="J2299" s="898"/>
      <c r="K2299" s="899"/>
      <c r="L2299" s="899"/>
      <c r="M2299" s="899"/>
      <c r="N2299" s="899"/>
      <c r="O2299" s="899"/>
      <c r="P2299" s="899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96"/>
      <c r="E2300" s="677"/>
      <c r="F2300" s="677"/>
      <c r="G2300" s="677"/>
      <c r="H2300" s="897"/>
      <c r="I2300" s="898"/>
      <c r="J2300" s="898"/>
      <c r="K2300" s="899"/>
      <c r="L2300" s="899"/>
      <c r="M2300" s="899"/>
      <c r="N2300" s="899"/>
      <c r="O2300" s="899"/>
      <c r="P2300" s="899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96"/>
      <c r="E2301" s="677"/>
      <c r="F2301" s="677"/>
      <c r="G2301" s="677"/>
      <c r="H2301" s="897"/>
      <c r="I2301" s="898"/>
      <c r="J2301" s="898"/>
      <c r="K2301" s="899"/>
      <c r="L2301" s="899"/>
      <c r="M2301" s="899"/>
      <c r="N2301" s="899"/>
      <c r="O2301" s="899"/>
      <c r="P2301" s="899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96"/>
      <c r="E2302" s="677"/>
      <c r="F2302" s="677"/>
      <c r="G2302" s="677"/>
      <c r="H2302" s="897"/>
      <c r="I2302" s="898"/>
      <c r="J2302" s="898"/>
      <c r="K2302" s="899"/>
      <c r="L2302" s="899"/>
      <c r="M2302" s="899"/>
      <c r="N2302" s="899"/>
      <c r="O2302" s="899"/>
      <c r="P2302" s="899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96"/>
      <c r="E2303" s="677"/>
      <c r="F2303" s="677"/>
      <c r="G2303" s="677"/>
      <c r="H2303" s="897"/>
      <c r="I2303" s="898"/>
      <c r="J2303" s="898"/>
      <c r="K2303" s="899"/>
      <c r="L2303" s="899"/>
      <c r="M2303" s="899"/>
      <c r="N2303" s="899"/>
      <c r="O2303" s="899"/>
      <c r="P2303" s="899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96"/>
      <c r="E2304" s="677"/>
      <c r="F2304" s="677"/>
      <c r="G2304" s="677"/>
      <c r="H2304" s="897"/>
      <c r="I2304" s="898"/>
      <c r="J2304" s="898"/>
      <c r="K2304" s="899"/>
      <c r="L2304" s="899"/>
      <c r="M2304" s="899"/>
      <c r="N2304" s="899"/>
      <c r="O2304" s="899"/>
      <c r="P2304" s="899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96"/>
      <c r="E2305" s="677"/>
      <c r="F2305" s="677"/>
      <c r="G2305" s="677"/>
      <c r="H2305" s="897"/>
      <c r="I2305" s="898"/>
      <c r="J2305" s="898"/>
      <c r="K2305" s="899"/>
      <c r="L2305" s="899"/>
      <c r="M2305" s="899"/>
      <c r="N2305" s="899"/>
      <c r="O2305" s="899"/>
      <c r="P2305" s="899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96"/>
      <c r="E2306" s="677"/>
      <c r="F2306" s="677"/>
      <c r="G2306" s="677"/>
      <c r="H2306" s="897"/>
      <c r="I2306" s="898"/>
      <c r="J2306" s="898"/>
      <c r="K2306" s="899"/>
      <c r="L2306" s="899"/>
      <c r="M2306" s="899"/>
      <c r="N2306" s="899"/>
      <c r="O2306" s="899"/>
      <c r="P2306" s="899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96"/>
      <c r="E2307" s="677"/>
      <c r="F2307" s="677"/>
      <c r="G2307" s="677"/>
      <c r="H2307" s="897"/>
      <c r="I2307" s="898"/>
      <c r="J2307" s="898"/>
      <c r="K2307" s="899"/>
      <c r="L2307" s="899"/>
      <c r="M2307" s="899"/>
      <c r="N2307" s="899"/>
      <c r="O2307" s="899"/>
      <c r="P2307" s="899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96"/>
      <c r="E2308" s="677"/>
      <c r="F2308" s="677"/>
      <c r="G2308" s="677"/>
      <c r="H2308" s="897"/>
      <c r="I2308" s="898"/>
      <c r="J2308" s="898"/>
      <c r="K2308" s="899"/>
      <c r="L2308" s="899"/>
      <c r="M2308" s="899"/>
      <c r="N2308" s="899"/>
      <c r="O2308" s="899"/>
      <c r="P2308" s="899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96"/>
      <c r="E2309" s="677"/>
      <c r="F2309" s="677"/>
      <c r="G2309" s="677"/>
      <c r="H2309" s="897"/>
      <c r="I2309" s="898"/>
      <c r="J2309" s="898"/>
      <c r="K2309" s="899"/>
      <c r="L2309" s="899"/>
      <c r="M2309" s="899"/>
      <c r="N2309" s="899"/>
      <c r="O2309" s="899"/>
      <c r="P2309" s="899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96"/>
      <c r="E2310" s="677"/>
      <c r="F2310" s="677"/>
      <c r="G2310" s="677"/>
      <c r="H2310" s="897"/>
      <c r="I2310" s="898"/>
      <c r="J2310" s="898"/>
      <c r="K2310" s="899"/>
      <c r="L2310" s="899"/>
      <c r="M2310" s="899"/>
      <c r="N2310" s="899"/>
      <c r="O2310" s="899"/>
      <c r="P2310" s="899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96"/>
      <c r="E2311" s="677"/>
      <c r="F2311" s="677"/>
      <c r="G2311" s="677"/>
      <c r="H2311" s="897"/>
      <c r="I2311" s="898"/>
      <c r="J2311" s="898"/>
      <c r="K2311" s="899"/>
      <c r="L2311" s="899"/>
      <c r="M2311" s="899"/>
      <c r="N2311" s="899"/>
      <c r="O2311" s="899"/>
      <c r="P2311" s="899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96"/>
      <c r="E2312" s="677"/>
      <c r="F2312" s="677"/>
      <c r="G2312" s="677"/>
      <c r="H2312" s="897"/>
      <c r="I2312" s="898"/>
      <c r="J2312" s="898"/>
      <c r="K2312" s="899"/>
      <c r="L2312" s="899"/>
      <c r="M2312" s="899"/>
      <c r="N2312" s="899"/>
      <c r="O2312" s="899"/>
      <c r="P2312" s="899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96"/>
      <c r="E2313" s="677"/>
      <c r="F2313" s="677"/>
      <c r="G2313" s="677"/>
      <c r="H2313" s="897"/>
      <c r="I2313" s="898"/>
      <c r="J2313" s="898"/>
      <c r="K2313" s="899"/>
      <c r="L2313" s="899"/>
      <c r="M2313" s="899"/>
      <c r="N2313" s="899"/>
      <c r="O2313" s="899"/>
      <c r="P2313" s="899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96"/>
      <c r="E2314" s="677"/>
      <c r="F2314" s="677"/>
      <c r="G2314" s="677"/>
      <c r="H2314" s="897"/>
      <c r="I2314" s="898"/>
      <c r="J2314" s="898"/>
      <c r="K2314" s="899"/>
      <c r="L2314" s="899"/>
      <c r="M2314" s="899"/>
      <c r="N2314" s="899"/>
      <c r="O2314" s="899"/>
      <c r="P2314" s="899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96"/>
      <c r="E2315" s="677"/>
      <c r="F2315" s="677"/>
      <c r="G2315" s="677"/>
      <c r="H2315" s="897"/>
      <c r="I2315" s="898"/>
      <c r="J2315" s="898"/>
      <c r="K2315" s="899"/>
      <c r="L2315" s="899"/>
      <c r="M2315" s="899"/>
      <c r="N2315" s="899"/>
      <c r="O2315" s="899"/>
      <c r="P2315" s="899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96"/>
      <c r="E2316" s="677"/>
      <c r="F2316" s="677"/>
      <c r="G2316" s="677"/>
      <c r="H2316" s="897"/>
      <c r="I2316" s="898"/>
      <c r="J2316" s="898"/>
      <c r="K2316" s="899"/>
      <c r="L2316" s="899"/>
      <c r="M2316" s="899"/>
      <c r="N2316" s="899"/>
      <c r="O2316" s="899"/>
      <c r="P2316" s="899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96"/>
      <c r="E2317" s="677"/>
      <c r="F2317" s="677"/>
      <c r="G2317" s="677"/>
      <c r="H2317" s="897"/>
      <c r="I2317" s="898"/>
      <c r="J2317" s="898"/>
      <c r="K2317" s="899"/>
      <c r="L2317" s="899"/>
      <c r="M2317" s="899"/>
      <c r="N2317" s="899"/>
      <c r="O2317" s="899"/>
      <c r="P2317" s="899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96"/>
      <c r="E2318" s="677"/>
      <c r="F2318" s="677"/>
      <c r="G2318" s="677"/>
      <c r="H2318" s="897"/>
      <c r="I2318" s="898"/>
      <c r="J2318" s="898"/>
      <c r="K2318" s="899"/>
      <c r="L2318" s="899"/>
      <c r="M2318" s="899"/>
      <c r="N2318" s="899"/>
      <c r="O2318" s="899"/>
      <c r="P2318" s="899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96"/>
      <c r="E2319" s="677"/>
      <c r="F2319" s="677"/>
      <c r="G2319" s="677"/>
      <c r="H2319" s="897"/>
      <c r="I2319" s="898"/>
      <c r="J2319" s="898"/>
      <c r="K2319" s="899"/>
      <c r="L2319" s="899"/>
      <c r="M2319" s="899"/>
      <c r="N2319" s="899"/>
      <c r="O2319" s="899"/>
      <c r="P2319" s="899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96"/>
      <c r="E2320" s="677"/>
      <c r="F2320" s="677"/>
      <c r="G2320" s="677"/>
      <c r="H2320" s="897"/>
      <c r="I2320" s="898"/>
      <c r="J2320" s="898"/>
      <c r="K2320" s="899"/>
      <c r="L2320" s="899"/>
      <c r="M2320" s="899"/>
      <c r="N2320" s="899"/>
      <c r="O2320" s="899"/>
      <c r="P2320" s="899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96"/>
      <c r="E2321" s="677"/>
      <c r="F2321" s="677"/>
      <c r="G2321" s="677"/>
      <c r="H2321" s="897"/>
      <c r="I2321" s="898"/>
      <c r="J2321" s="898"/>
      <c r="K2321" s="899"/>
      <c r="L2321" s="899"/>
      <c r="M2321" s="899"/>
      <c r="N2321" s="899"/>
      <c r="O2321" s="899"/>
      <c r="P2321" s="899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96"/>
      <c r="E2322" s="677"/>
      <c r="F2322" s="677"/>
      <c r="G2322" s="677"/>
      <c r="H2322" s="897"/>
      <c r="I2322" s="898"/>
      <c r="J2322" s="898"/>
      <c r="K2322" s="899"/>
      <c r="L2322" s="899"/>
      <c r="M2322" s="899"/>
      <c r="N2322" s="899"/>
      <c r="O2322" s="899"/>
      <c r="P2322" s="899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96"/>
      <c r="E2323" s="677"/>
      <c r="F2323" s="677"/>
      <c r="G2323" s="677"/>
      <c r="H2323" s="897"/>
      <c r="I2323" s="898"/>
      <c r="J2323" s="898"/>
      <c r="K2323" s="899"/>
      <c r="L2323" s="899"/>
      <c r="M2323" s="899"/>
      <c r="N2323" s="899"/>
      <c r="O2323" s="899"/>
      <c r="P2323" s="899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96"/>
      <c r="E2324" s="677"/>
      <c r="F2324" s="677"/>
      <c r="G2324" s="677"/>
      <c r="H2324" s="897"/>
      <c r="I2324" s="898"/>
      <c r="J2324" s="898"/>
      <c r="K2324" s="899"/>
      <c r="L2324" s="899"/>
      <c r="M2324" s="899"/>
      <c r="N2324" s="899"/>
      <c r="O2324" s="899"/>
      <c r="P2324" s="899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96"/>
      <c r="E2325" s="677"/>
      <c r="F2325" s="677"/>
      <c r="G2325" s="677"/>
      <c r="H2325" s="897"/>
      <c r="I2325" s="898"/>
      <c r="J2325" s="898"/>
      <c r="K2325" s="899"/>
      <c r="L2325" s="899"/>
      <c r="M2325" s="899"/>
      <c r="N2325" s="899"/>
      <c r="O2325" s="899"/>
      <c r="P2325" s="899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96"/>
      <c r="E2326" s="677"/>
      <c r="F2326" s="677"/>
      <c r="G2326" s="677"/>
      <c r="H2326" s="897"/>
      <c r="I2326" s="898"/>
      <c r="J2326" s="898"/>
      <c r="K2326" s="899"/>
      <c r="L2326" s="899"/>
      <c r="M2326" s="899"/>
      <c r="N2326" s="899"/>
      <c r="O2326" s="899"/>
      <c r="P2326" s="899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96"/>
      <c r="E2327" s="677"/>
      <c r="F2327" s="677"/>
      <c r="G2327" s="677"/>
      <c r="H2327" s="897"/>
      <c r="I2327" s="898"/>
      <c r="J2327" s="898"/>
      <c r="K2327" s="899"/>
      <c r="L2327" s="899"/>
      <c r="M2327" s="899"/>
      <c r="N2327" s="899"/>
      <c r="O2327" s="899"/>
      <c r="P2327" s="899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96"/>
      <c r="E2328" s="677"/>
      <c r="F2328" s="677"/>
      <c r="G2328" s="677"/>
      <c r="H2328" s="897"/>
      <c r="I2328" s="898"/>
      <c r="J2328" s="898"/>
      <c r="K2328" s="899"/>
      <c r="L2328" s="899"/>
      <c r="M2328" s="899"/>
      <c r="N2328" s="899"/>
      <c r="O2328" s="899"/>
      <c r="P2328" s="899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96"/>
      <c r="E2329" s="677"/>
      <c r="F2329" s="677"/>
      <c r="G2329" s="677"/>
      <c r="H2329" s="897"/>
      <c r="I2329" s="898"/>
      <c r="J2329" s="898"/>
      <c r="K2329" s="899"/>
      <c r="L2329" s="899"/>
      <c r="M2329" s="899"/>
      <c r="N2329" s="899"/>
      <c r="O2329" s="899"/>
      <c r="P2329" s="899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96"/>
      <c r="E2330" s="677"/>
      <c r="F2330" s="677"/>
      <c r="G2330" s="677"/>
      <c r="H2330" s="897"/>
      <c r="I2330" s="898"/>
      <c r="J2330" s="898"/>
      <c r="K2330" s="899"/>
      <c r="L2330" s="899"/>
      <c r="M2330" s="899"/>
      <c r="N2330" s="899"/>
      <c r="O2330" s="899"/>
      <c r="P2330" s="899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96"/>
      <c r="E2331" s="677"/>
      <c r="F2331" s="677"/>
      <c r="G2331" s="677"/>
      <c r="H2331" s="897"/>
      <c r="I2331" s="898"/>
      <c r="J2331" s="898"/>
      <c r="K2331" s="899"/>
      <c r="L2331" s="899"/>
      <c r="M2331" s="899"/>
      <c r="N2331" s="899"/>
      <c r="O2331" s="899"/>
      <c r="P2331" s="899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96"/>
      <c r="E2332" s="677"/>
      <c r="F2332" s="677"/>
      <c r="G2332" s="677"/>
      <c r="H2332" s="897"/>
      <c r="I2332" s="898"/>
      <c r="J2332" s="898"/>
      <c r="K2332" s="899"/>
      <c r="L2332" s="899"/>
      <c r="M2332" s="899"/>
      <c r="N2332" s="899"/>
      <c r="O2332" s="899"/>
      <c r="P2332" s="899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96"/>
      <c r="E2333" s="677"/>
      <c r="F2333" s="677"/>
      <c r="G2333" s="677"/>
      <c r="H2333" s="897"/>
      <c r="I2333" s="898"/>
      <c r="J2333" s="898"/>
      <c r="K2333" s="899"/>
      <c r="L2333" s="899"/>
      <c r="M2333" s="899"/>
      <c r="N2333" s="899"/>
      <c r="O2333" s="899"/>
      <c r="P2333" s="899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96"/>
      <c r="E2334" s="677"/>
      <c r="F2334" s="677"/>
      <c r="G2334" s="677"/>
      <c r="H2334" s="897"/>
      <c r="I2334" s="898"/>
      <c r="J2334" s="898"/>
      <c r="K2334" s="899"/>
      <c r="L2334" s="899"/>
      <c r="M2334" s="899"/>
      <c r="N2334" s="899"/>
      <c r="O2334" s="899"/>
      <c r="P2334" s="899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96"/>
      <c r="E2335" s="677"/>
      <c r="F2335" s="677"/>
      <c r="G2335" s="677"/>
      <c r="H2335" s="897"/>
      <c r="I2335" s="898"/>
      <c r="J2335" s="898"/>
      <c r="K2335" s="899"/>
      <c r="L2335" s="899"/>
      <c r="M2335" s="899"/>
      <c r="N2335" s="899"/>
      <c r="O2335" s="899"/>
      <c r="P2335" s="899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96"/>
      <c r="E2336" s="677"/>
      <c r="F2336" s="677"/>
      <c r="G2336" s="677"/>
      <c r="H2336" s="897"/>
      <c r="I2336" s="898"/>
      <c r="J2336" s="898"/>
      <c r="K2336" s="899"/>
      <c r="L2336" s="899"/>
      <c r="M2336" s="899"/>
      <c r="N2336" s="899"/>
      <c r="O2336" s="899"/>
      <c r="P2336" s="899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96"/>
      <c r="E2337" s="677"/>
      <c r="F2337" s="677"/>
      <c r="G2337" s="677"/>
      <c r="H2337" s="897"/>
      <c r="I2337" s="898"/>
      <c r="J2337" s="898"/>
      <c r="K2337" s="899"/>
      <c r="L2337" s="899"/>
      <c r="M2337" s="899"/>
      <c r="N2337" s="899"/>
      <c r="O2337" s="899"/>
      <c r="P2337" s="899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96"/>
      <c r="E2338" s="677"/>
      <c r="F2338" s="677"/>
      <c r="G2338" s="677"/>
      <c r="H2338" s="897"/>
      <c r="I2338" s="898"/>
      <c r="J2338" s="898"/>
      <c r="K2338" s="899"/>
      <c r="L2338" s="899"/>
      <c r="M2338" s="899"/>
      <c r="N2338" s="899"/>
      <c r="O2338" s="899"/>
      <c r="P2338" s="899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96"/>
      <c r="E2339" s="677"/>
      <c r="F2339" s="677"/>
      <c r="G2339" s="677"/>
      <c r="H2339" s="897"/>
      <c r="I2339" s="898"/>
      <c r="J2339" s="898"/>
      <c r="K2339" s="899"/>
      <c r="L2339" s="899"/>
      <c r="M2339" s="899"/>
      <c r="N2339" s="899"/>
      <c r="O2339" s="899"/>
      <c r="P2339" s="899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96"/>
      <c r="E2340" s="677"/>
      <c r="F2340" s="677"/>
      <c r="G2340" s="677"/>
      <c r="H2340" s="897"/>
      <c r="I2340" s="898"/>
      <c r="J2340" s="898"/>
      <c r="K2340" s="899"/>
      <c r="L2340" s="899"/>
      <c r="M2340" s="899"/>
      <c r="N2340" s="899"/>
      <c r="O2340" s="899"/>
      <c r="P2340" s="899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96"/>
      <c r="E2341" s="677"/>
      <c r="F2341" s="677"/>
      <c r="G2341" s="677"/>
      <c r="H2341" s="897"/>
      <c r="I2341" s="898"/>
      <c r="J2341" s="898"/>
      <c r="K2341" s="899"/>
      <c r="L2341" s="899"/>
      <c r="M2341" s="899"/>
      <c r="N2341" s="899"/>
      <c r="O2341" s="899"/>
      <c r="P2341" s="899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96"/>
      <c r="E2342" s="677"/>
      <c r="F2342" s="677"/>
      <c r="G2342" s="677"/>
      <c r="H2342" s="897"/>
      <c r="I2342" s="898"/>
      <c r="J2342" s="898"/>
      <c r="K2342" s="899"/>
      <c r="L2342" s="899"/>
      <c r="M2342" s="899"/>
      <c r="N2342" s="899"/>
      <c r="O2342" s="899"/>
      <c r="P2342" s="899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96"/>
      <c r="E2343" s="677"/>
      <c r="F2343" s="677"/>
      <c r="G2343" s="677"/>
      <c r="H2343" s="897"/>
      <c r="I2343" s="898"/>
      <c r="J2343" s="898"/>
      <c r="K2343" s="899"/>
      <c r="L2343" s="899"/>
      <c r="M2343" s="899"/>
      <c r="N2343" s="899"/>
      <c r="O2343" s="899"/>
      <c r="P2343" s="899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96"/>
      <c r="E2344" s="677"/>
      <c r="F2344" s="677"/>
      <c r="G2344" s="677"/>
      <c r="H2344" s="897"/>
      <c r="I2344" s="898"/>
      <c r="J2344" s="898"/>
      <c r="K2344" s="899"/>
      <c r="L2344" s="899"/>
      <c r="M2344" s="899"/>
      <c r="N2344" s="899"/>
      <c r="O2344" s="899"/>
      <c r="P2344" s="899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96"/>
      <c r="E2345" s="677"/>
      <c r="F2345" s="677"/>
      <c r="G2345" s="677"/>
      <c r="H2345" s="897"/>
      <c r="I2345" s="898"/>
      <c r="J2345" s="898"/>
      <c r="K2345" s="899"/>
      <c r="L2345" s="899"/>
      <c r="M2345" s="899"/>
      <c r="N2345" s="899"/>
      <c r="O2345" s="899"/>
      <c r="P2345" s="899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96"/>
      <c r="E2346" s="677"/>
      <c r="F2346" s="677"/>
      <c r="G2346" s="677"/>
      <c r="H2346" s="897"/>
      <c r="I2346" s="898"/>
      <c r="J2346" s="898"/>
      <c r="K2346" s="899"/>
      <c r="L2346" s="899"/>
      <c r="M2346" s="899"/>
      <c r="N2346" s="899"/>
      <c r="O2346" s="899"/>
      <c r="P2346" s="899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96"/>
      <c r="E2347" s="677"/>
      <c r="F2347" s="677"/>
      <c r="G2347" s="677"/>
      <c r="H2347" s="897"/>
      <c r="I2347" s="898"/>
      <c r="J2347" s="898"/>
      <c r="K2347" s="899"/>
      <c r="L2347" s="899"/>
      <c r="M2347" s="899"/>
      <c r="N2347" s="899"/>
      <c r="O2347" s="899"/>
      <c r="P2347" s="899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96"/>
      <c r="E2348" s="677"/>
      <c r="F2348" s="677"/>
      <c r="G2348" s="677"/>
      <c r="H2348" s="897"/>
      <c r="I2348" s="898"/>
      <c r="J2348" s="898"/>
      <c r="K2348" s="899"/>
      <c r="L2348" s="899"/>
      <c r="M2348" s="899"/>
      <c r="N2348" s="899"/>
      <c r="O2348" s="899"/>
      <c r="P2348" s="899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96"/>
      <c r="E2349" s="677"/>
      <c r="F2349" s="677"/>
      <c r="G2349" s="677"/>
      <c r="H2349" s="897"/>
      <c r="I2349" s="898"/>
      <c r="J2349" s="898"/>
      <c r="K2349" s="899"/>
      <c r="L2349" s="899"/>
      <c r="M2349" s="899"/>
      <c r="N2349" s="899"/>
      <c r="O2349" s="899"/>
      <c r="P2349" s="899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96"/>
      <c r="E2350" s="677"/>
      <c r="F2350" s="677"/>
      <c r="G2350" s="677"/>
      <c r="H2350" s="897"/>
      <c r="I2350" s="898"/>
      <c r="J2350" s="898"/>
      <c r="K2350" s="899"/>
      <c r="L2350" s="899"/>
      <c r="M2350" s="899"/>
      <c r="N2350" s="899"/>
      <c r="O2350" s="899"/>
      <c r="P2350" s="899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96"/>
      <c r="E2351" s="677"/>
      <c r="F2351" s="677"/>
      <c r="G2351" s="677"/>
      <c r="H2351" s="897"/>
      <c r="I2351" s="898"/>
      <c r="J2351" s="898"/>
      <c r="K2351" s="899"/>
      <c r="L2351" s="899"/>
      <c r="M2351" s="899"/>
      <c r="N2351" s="899"/>
      <c r="O2351" s="899"/>
      <c r="P2351" s="899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96"/>
      <c r="E2352" s="677"/>
      <c r="F2352" s="677"/>
      <c r="G2352" s="677"/>
      <c r="H2352" s="897"/>
      <c r="I2352" s="898"/>
      <c r="J2352" s="898"/>
      <c r="K2352" s="899"/>
      <c r="L2352" s="899"/>
      <c r="M2352" s="899"/>
      <c r="N2352" s="899"/>
      <c r="O2352" s="899"/>
      <c r="P2352" s="899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96"/>
      <c r="E2353" s="677"/>
      <c r="F2353" s="677"/>
      <c r="G2353" s="677"/>
      <c r="H2353" s="897"/>
      <c r="I2353" s="898"/>
      <c r="J2353" s="898"/>
      <c r="K2353" s="899"/>
      <c r="L2353" s="899"/>
      <c r="M2353" s="899"/>
      <c r="N2353" s="899"/>
      <c r="O2353" s="899"/>
      <c r="P2353" s="899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96"/>
      <c r="E2354" s="677"/>
      <c r="F2354" s="677"/>
      <c r="G2354" s="677"/>
      <c r="H2354" s="897"/>
      <c r="I2354" s="898"/>
      <c r="J2354" s="898"/>
      <c r="K2354" s="899"/>
      <c r="L2354" s="899"/>
      <c r="M2354" s="899"/>
      <c r="N2354" s="899"/>
      <c r="O2354" s="899"/>
      <c r="P2354" s="899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96"/>
      <c r="E2355" s="677"/>
      <c r="F2355" s="677"/>
      <c r="G2355" s="677"/>
      <c r="H2355" s="897"/>
      <c r="I2355" s="898"/>
      <c r="J2355" s="898"/>
      <c r="K2355" s="899"/>
      <c r="L2355" s="899"/>
      <c r="M2355" s="899"/>
      <c r="N2355" s="899"/>
      <c r="O2355" s="899"/>
      <c r="P2355" s="899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96"/>
      <c r="E2356" s="677"/>
      <c r="F2356" s="677"/>
      <c r="G2356" s="677"/>
      <c r="H2356" s="897"/>
      <c r="I2356" s="898"/>
      <c r="J2356" s="898"/>
      <c r="K2356" s="899"/>
      <c r="L2356" s="899"/>
      <c r="M2356" s="899"/>
      <c r="N2356" s="899"/>
      <c r="O2356" s="899"/>
      <c r="P2356" s="899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96"/>
      <c r="E2357" s="677"/>
      <c r="F2357" s="677"/>
      <c r="G2357" s="677"/>
      <c r="H2357" s="897"/>
      <c r="I2357" s="898"/>
      <c r="J2357" s="898"/>
      <c r="K2357" s="899"/>
      <c r="L2357" s="899"/>
      <c r="M2357" s="899"/>
      <c r="N2357" s="899"/>
      <c r="O2357" s="899"/>
      <c r="P2357" s="899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96"/>
      <c r="E2358" s="677"/>
      <c r="F2358" s="677"/>
      <c r="G2358" s="677"/>
      <c r="H2358" s="897"/>
      <c r="I2358" s="898"/>
      <c r="J2358" s="898"/>
      <c r="K2358" s="899"/>
      <c r="L2358" s="899"/>
      <c r="M2358" s="899"/>
      <c r="N2358" s="899"/>
      <c r="O2358" s="899"/>
      <c r="P2358" s="899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96"/>
      <c r="E2359" s="677"/>
      <c r="F2359" s="677"/>
      <c r="G2359" s="677"/>
      <c r="H2359" s="897"/>
      <c r="I2359" s="898"/>
      <c r="J2359" s="898"/>
      <c r="K2359" s="899"/>
      <c r="L2359" s="899"/>
      <c r="M2359" s="899"/>
      <c r="N2359" s="899"/>
      <c r="O2359" s="899"/>
      <c r="P2359" s="899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96"/>
      <c r="E2360" s="677"/>
      <c r="F2360" s="677"/>
      <c r="G2360" s="677"/>
      <c r="H2360" s="897"/>
      <c r="I2360" s="898"/>
      <c r="J2360" s="898"/>
      <c r="K2360" s="899"/>
      <c r="L2360" s="899"/>
      <c r="M2360" s="899"/>
      <c r="N2360" s="899"/>
      <c r="O2360" s="899"/>
      <c r="P2360" s="899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96"/>
      <c r="E2361" s="677"/>
      <c r="F2361" s="677"/>
      <c r="G2361" s="677"/>
      <c r="H2361" s="897"/>
      <c r="I2361" s="898"/>
      <c r="J2361" s="898"/>
      <c r="K2361" s="899"/>
      <c r="L2361" s="899"/>
      <c r="M2361" s="899"/>
      <c r="N2361" s="899"/>
      <c r="O2361" s="899"/>
      <c r="P2361" s="899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96"/>
      <c r="E2362" s="677"/>
      <c r="F2362" s="677"/>
      <c r="G2362" s="677"/>
      <c r="H2362" s="897"/>
      <c r="I2362" s="898"/>
      <c r="J2362" s="898"/>
      <c r="K2362" s="899"/>
      <c r="L2362" s="899"/>
      <c r="M2362" s="899"/>
      <c r="N2362" s="899"/>
      <c r="O2362" s="899"/>
      <c r="P2362" s="899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96"/>
      <c r="E2363" s="677"/>
      <c r="F2363" s="677"/>
      <c r="G2363" s="677"/>
      <c r="H2363" s="897"/>
      <c r="I2363" s="898"/>
      <c r="J2363" s="898"/>
      <c r="K2363" s="899"/>
      <c r="L2363" s="899"/>
      <c r="M2363" s="899"/>
      <c r="N2363" s="899"/>
      <c r="O2363" s="899"/>
      <c r="P2363" s="899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96"/>
      <c r="E2364" s="677"/>
      <c r="F2364" s="677"/>
      <c r="G2364" s="677"/>
      <c r="H2364" s="897"/>
      <c r="I2364" s="898"/>
      <c r="J2364" s="898"/>
      <c r="K2364" s="899"/>
      <c r="L2364" s="899"/>
      <c r="M2364" s="899"/>
      <c r="N2364" s="899"/>
      <c r="O2364" s="899"/>
      <c r="P2364" s="899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96"/>
      <c r="E2365" s="677"/>
      <c r="F2365" s="677"/>
      <c r="G2365" s="677"/>
      <c r="H2365" s="897"/>
      <c r="I2365" s="898"/>
      <c r="J2365" s="898"/>
      <c r="K2365" s="899"/>
      <c r="L2365" s="899"/>
      <c r="M2365" s="899"/>
      <c r="N2365" s="899"/>
      <c r="O2365" s="899"/>
      <c r="P2365" s="899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96"/>
      <c r="E2366" s="677"/>
      <c r="F2366" s="677"/>
      <c r="G2366" s="677"/>
      <c r="H2366" s="897"/>
      <c r="I2366" s="898"/>
      <c r="J2366" s="898"/>
      <c r="K2366" s="899"/>
      <c r="L2366" s="899"/>
      <c r="M2366" s="899"/>
      <c r="N2366" s="899"/>
      <c r="O2366" s="899"/>
      <c r="P2366" s="899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96"/>
      <c r="E2367" s="677"/>
      <c r="F2367" s="677"/>
      <c r="G2367" s="677"/>
      <c r="H2367" s="897"/>
      <c r="I2367" s="898"/>
      <c r="J2367" s="898"/>
      <c r="K2367" s="899"/>
      <c r="L2367" s="899"/>
      <c r="M2367" s="899"/>
      <c r="N2367" s="899"/>
      <c r="O2367" s="899"/>
      <c r="P2367" s="899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96"/>
      <c r="E2368" s="677"/>
      <c r="F2368" s="677"/>
      <c r="G2368" s="677"/>
      <c r="H2368" s="897"/>
      <c r="I2368" s="898"/>
      <c r="J2368" s="898"/>
      <c r="K2368" s="899"/>
      <c r="L2368" s="899"/>
      <c r="M2368" s="899"/>
      <c r="N2368" s="899"/>
      <c r="O2368" s="899"/>
      <c r="P2368" s="899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96"/>
      <c r="E2369" s="677"/>
      <c r="F2369" s="677"/>
      <c r="G2369" s="677"/>
      <c r="H2369" s="897"/>
      <c r="I2369" s="898"/>
      <c r="J2369" s="898"/>
      <c r="K2369" s="899"/>
      <c r="L2369" s="899"/>
      <c r="M2369" s="899"/>
      <c r="N2369" s="899"/>
      <c r="O2369" s="899"/>
      <c r="P2369" s="899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96"/>
      <c r="E2370" s="677"/>
      <c r="F2370" s="677"/>
      <c r="G2370" s="677"/>
      <c r="H2370" s="897"/>
      <c r="I2370" s="898"/>
      <c r="J2370" s="898"/>
      <c r="K2370" s="899"/>
      <c r="L2370" s="899"/>
      <c r="M2370" s="899"/>
      <c r="N2370" s="899"/>
      <c r="O2370" s="899"/>
      <c r="P2370" s="899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96"/>
      <c r="E2371" s="677"/>
      <c r="F2371" s="677"/>
      <c r="G2371" s="677"/>
      <c r="H2371" s="897"/>
      <c r="I2371" s="898"/>
      <c r="J2371" s="898"/>
      <c r="K2371" s="899"/>
      <c r="L2371" s="899"/>
      <c r="M2371" s="899"/>
      <c r="N2371" s="899"/>
      <c r="O2371" s="899"/>
      <c r="P2371" s="899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96"/>
      <c r="E2372" s="677"/>
      <c r="F2372" s="677"/>
      <c r="G2372" s="677"/>
      <c r="H2372" s="897"/>
      <c r="I2372" s="898"/>
      <c r="J2372" s="898"/>
      <c r="K2372" s="899"/>
      <c r="L2372" s="899"/>
      <c r="M2372" s="899"/>
      <c r="N2372" s="899"/>
      <c r="O2372" s="899"/>
      <c r="P2372" s="899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96"/>
      <c r="E2373" s="677"/>
      <c r="F2373" s="677"/>
      <c r="G2373" s="677"/>
      <c r="H2373" s="897"/>
      <c r="I2373" s="898"/>
      <c r="J2373" s="898"/>
      <c r="K2373" s="899"/>
      <c r="L2373" s="899"/>
      <c r="M2373" s="899"/>
      <c r="N2373" s="899"/>
      <c r="O2373" s="899"/>
      <c r="P2373" s="899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96"/>
      <c r="E2374" s="677"/>
      <c r="F2374" s="677"/>
      <c r="G2374" s="677"/>
      <c r="H2374" s="897"/>
      <c r="I2374" s="898"/>
      <c r="J2374" s="898"/>
      <c r="K2374" s="899"/>
      <c r="L2374" s="899"/>
      <c r="M2374" s="899"/>
      <c r="N2374" s="899"/>
      <c r="O2374" s="899"/>
      <c r="P2374" s="899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96"/>
      <c r="E2375" s="677"/>
      <c r="F2375" s="677"/>
      <c r="G2375" s="677"/>
      <c r="H2375" s="897"/>
      <c r="I2375" s="898"/>
      <c r="J2375" s="898"/>
      <c r="K2375" s="899"/>
      <c r="L2375" s="899"/>
      <c r="M2375" s="899"/>
      <c r="N2375" s="899"/>
      <c r="O2375" s="899"/>
      <c r="P2375" s="899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96"/>
      <c r="E2376" s="677"/>
      <c r="F2376" s="677"/>
      <c r="G2376" s="677"/>
      <c r="H2376" s="897"/>
      <c r="I2376" s="898"/>
      <c r="J2376" s="898"/>
      <c r="K2376" s="899"/>
      <c r="L2376" s="899"/>
      <c r="M2376" s="899"/>
      <c r="N2376" s="899"/>
      <c r="O2376" s="899"/>
      <c r="P2376" s="899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96"/>
      <c r="E2377" s="677"/>
      <c r="F2377" s="677"/>
      <c r="G2377" s="677"/>
      <c r="H2377" s="897"/>
      <c r="I2377" s="898"/>
      <c r="J2377" s="898"/>
      <c r="K2377" s="899"/>
      <c r="L2377" s="899"/>
      <c r="M2377" s="899"/>
      <c r="N2377" s="899"/>
      <c r="O2377" s="899"/>
      <c r="P2377" s="899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96"/>
      <c r="E2378" s="677"/>
      <c r="F2378" s="677"/>
      <c r="G2378" s="677"/>
      <c r="H2378" s="897"/>
      <c r="I2378" s="898"/>
      <c r="J2378" s="898"/>
      <c r="K2378" s="899"/>
      <c r="L2378" s="899"/>
      <c r="M2378" s="899"/>
      <c r="N2378" s="899"/>
      <c r="O2378" s="899"/>
      <c r="P2378" s="899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96"/>
      <c r="E2379" s="677"/>
      <c r="F2379" s="677"/>
      <c r="G2379" s="677"/>
      <c r="H2379" s="897"/>
      <c r="I2379" s="898"/>
      <c r="J2379" s="898"/>
      <c r="K2379" s="899"/>
      <c r="L2379" s="899"/>
      <c r="M2379" s="899"/>
      <c r="N2379" s="899"/>
      <c r="O2379" s="899"/>
      <c r="P2379" s="899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96"/>
      <c r="E2380" s="677"/>
      <c r="F2380" s="677"/>
      <c r="G2380" s="677"/>
      <c r="H2380" s="897"/>
      <c r="I2380" s="898"/>
      <c r="J2380" s="898"/>
      <c r="K2380" s="899"/>
      <c r="L2380" s="899"/>
      <c r="M2380" s="899"/>
      <c r="N2380" s="899"/>
      <c r="O2380" s="899"/>
      <c r="P2380" s="899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96"/>
      <c r="E2381" s="677"/>
      <c r="F2381" s="677"/>
      <c r="G2381" s="677"/>
      <c r="H2381" s="897"/>
      <c r="I2381" s="898"/>
      <c r="J2381" s="898"/>
      <c r="K2381" s="899"/>
      <c r="L2381" s="899"/>
      <c r="M2381" s="899"/>
      <c r="N2381" s="899"/>
      <c r="O2381" s="899"/>
      <c r="P2381" s="899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96"/>
      <c r="E2382" s="677"/>
      <c r="F2382" s="677"/>
      <c r="G2382" s="677"/>
      <c r="H2382" s="897"/>
      <c r="I2382" s="898"/>
      <c r="J2382" s="898"/>
      <c r="K2382" s="899"/>
      <c r="L2382" s="899"/>
      <c r="M2382" s="899"/>
      <c r="N2382" s="899"/>
      <c r="O2382" s="899"/>
      <c r="P2382" s="899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96"/>
      <c r="E2383" s="677"/>
      <c r="F2383" s="677"/>
      <c r="G2383" s="677"/>
      <c r="H2383" s="897"/>
      <c r="I2383" s="898"/>
      <c r="J2383" s="898"/>
      <c r="K2383" s="899"/>
      <c r="L2383" s="899"/>
      <c r="M2383" s="899"/>
      <c r="N2383" s="899"/>
      <c r="O2383" s="899"/>
      <c r="P2383" s="899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96"/>
      <c r="E2384" s="677"/>
      <c r="F2384" s="677"/>
      <c r="G2384" s="677"/>
      <c r="H2384" s="897"/>
      <c r="I2384" s="898"/>
      <c r="J2384" s="898"/>
      <c r="K2384" s="899"/>
      <c r="L2384" s="899"/>
      <c r="M2384" s="899"/>
      <c r="N2384" s="899"/>
      <c r="O2384" s="899"/>
      <c r="P2384" s="899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96"/>
      <c r="E2385" s="677"/>
      <c r="F2385" s="677"/>
      <c r="G2385" s="677"/>
      <c r="H2385" s="897"/>
      <c r="I2385" s="898"/>
      <c r="J2385" s="898"/>
      <c r="K2385" s="899"/>
      <c r="L2385" s="899"/>
      <c r="M2385" s="899"/>
      <c r="N2385" s="899"/>
      <c r="O2385" s="899"/>
      <c r="P2385" s="899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96"/>
      <c r="E2386" s="677"/>
      <c r="F2386" s="677"/>
      <c r="G2386" s="677"/>
      <c r="H2386" s="897"/>
      <c r="I2386" s="898"/>
      <c r="J2386" s="898"/>
      <c r="K2386" s="899"/>
      <c r="L2386" s="899"/>
      <c r="M2386" s="899"/>
      <c r="N2386" s="899"/>
      <c r="O2386" s="899"/>
      <c r="P2386" s="899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96"/>
      <c r="E2387" s="677"/>
      <c r="F2387" s="677"/>
      <c r="G2387" s="677"/>
      <c r="H2387" s="897"/>
      <c r="I2387" s="898"/>
      <c r="J2387" s="898"/>
      <c r="K2387" s="899"/>
      <c r="L2387" s="899"/>
      <c r="M2387" s="899"/>
      <c r="N2387" s="899"/>
      <c r="O2387" s="899"/>
      <c r="P2387" s="899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96"/>
      <c r="E2388" s="677"/>
      <c r="F2388" s="677"/>
      <c r="G2388" s="677"/>
      <c r="H2388" s="897"/>
      <c r="I2388" s="898"/>
      <c r="J2388" s="898"/>
      <c r="K2388" s="899"/>
      <c r="L2388" s="899"/>
      <c r="M2388" s="899"/>
      <c r="N2388" s="899"/>
      <c r="O2388" s="899"/>
      <c r="P2388" s="899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96"/>
      <c r="E2389" s="677"/>
      <c r="F2389" s="677"/>
      <c r="G2389" s="677"/>
      <c r="H2389" s="897"/>
      <c r="I2389" s="898"/>
      <c r="J2389" s="898"/>
      <c r="K2389" s="899"/>
      <c r="L2389" s="899"/>
      <c r="M2389" s="899"/>
      <c r="N2389" s="899"/>
      <c r="O2389" s="899"/>
      <c r="P2389" s="899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96"/>
      <c r="E2390" s="677"/>
      <c r="F2390" s="677"/>
      <c r="G2390" s="677"/>
      <c r="H2390" s="897"/>
      <c r="I2390" s="898"/>
      <c r="J2390" s="898"/>
      <c r="K2390" s="899"/>
      <c r="L2390" s="899"/>
      <c r="M2390" s="899"/>
      <c r="N2390" s="899"/>
      <c r="O2390" s="899"/>
      <c r="P2390" s="899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96"/>
      <c r="E2391" s="677"/>
      <c r="F2391" s="677"/>
      <c r="G2391" s="677"/>
      <c r="H2391" s="897"/>
      <c r="I2391" s="898"/>
      <c r="J2391" s="898"/>
      <c r="K2391" s="899"/>
      <c r="L2391" s="899"/>
      <c r="M2391" s="899"/>
      <c r="N2391" s="899"/>
      <c r="O2391" s="899"/>
      <c r="P2391" s="899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96"/>
      <c r="E2392" s="677"/>
      <c r="F2392" s="677"/>
      <c r="G2392" s="677"/>
      <c r="H2392" s="897"/>
      <c r="I2392" s="898"/>
      <c r="J2392" s="898"/>
      <c r="K2392" s="899"/>
      <c r="L2392" s="899"/>
      <c r="M2392" s="899"/>
      <c r="N2392" s="899"/>
      <c r="O2392" s="899"/>
      <c r="P2392" s="899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96"/>
      <c r="E2393" s="677"/>
      <c r="F2393" s="677"/>
      <c r="G2393" s="677"/>
      <c r="H2393" s="897"/>
      <c r="I2393" s="898"/>
      <c r="J2393" s="898"/>
      <c r="K2393" s="899"/>
      <c r="L2393" s="899"/>
      <c r="M2393" s="899"/>
      <c r="N2393" s="899"/>
      <c r="O2393" s="899"/>
      <c r="P2393" s="899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96"/>
      <c r="E2394" s="677"/>
      <c r="F2394" s="677"/>
      <c r="G2394" s="677"/>
      <c r="H2394" s="897"/>
      <c r="I2394" s="898"/>
      <c r="J2394" s="898"/>
      <c r="K2394" s="899"/>
      <c r="L2394" s="899"/>
      <c r="M2394" s="899"/>
      <c r="N2394" s="899"/>
      <c r="O2394" s="899"/>
      <c r="P2394" s="899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96"/>
      <c r="E2395" s="677"/>
      <c r="F2395" s="677"/>
      <c r="G2395" s="677"/>
      <c r="H2395" s="897"/>
      <c r="I2395" s="898"/>
      <c r="J2395" s="898"/>
      <c r="K2395" s="899"/>
      <c r="L2395" s="899"/>
      <c r="M2395" s="899"/>
      <c r="N2395" s="899"/>
      <c r="O2395" s="899"/>
      <c r="P2395" s="899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96"/>
      <c r="E2396" s="677"/>
      <c r="F2396" s="677"/>
      <c r="G2396" s="677"/>
      <c r="H2396" s="897"/>
      <c r="I2396" s="898"/>
      <c r="J2396" s="898"/>
      <c r="K2396" s="899"/>
      <c r="L2396" s="899"/>
      <c r="M2396" s="899"/>
      <c r="N2396" s="899"/>
      <c r="O2396" s="899"/>
      <c r="P2396" s="899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96"/>
      <c r="E2397" s="677"/>
      <c r="F2397" s="677"/>
      <c r="G2397" s="677"/>
      <c r="H2397" s="897"/>
      <c r="I2397" s="898"/>
      <c r="J2397" s="898"/>
      <c r="K2397" s="899"/>
      <c r="L2397" s="899"/>
      <c r="M2397" s="899"/>
      <c r="N2397" s="899"/>
      <c r="O2397" s="899"/>
      <c r="P2397" s="899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96"/>
      <c r="E2398" s="677"/>
      <c r="F2398" s="677"/>
      <c r="G2398" s="677"/>
      <c r="H2398" s="897"/>
      <c r="I2398" s="898"/>
      <c r="J2398" s="898"/>
      <c r="K2398" s="899"/>
      <c r="L2398" s="899"/>
      <c r="M2398" s="899"/>
      <c r="N2398" s="899"/>
      <c r="O2398" s="899"/>
      <c r="P2398" s="899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96"/>
      <c r="E2399" s="677"/>
      <c r="F2399" s="677"/>
      <c r="G2399" s="677"/>
      <c r="H2399" s="897"/>
      <c r="I2399" s="898"/>
      <c r="J2399" s="898"/>
      <c r="K2399" s="899"/>
      <c r="L2399" s="899"/>
      <c r="M2399" s="899"/>
      <c r="N2399" s="899"/>
      <c r="O2399" s="899"/>
      <c r="P2399" s="899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96"/>
      <c r="E2400" s="677"/>
      <c r="F2400" s="677"/>
      <c r="G2400" s="677"/>
      <c r="H2400" s="897"/>
      <c r="I2400" s="898"/>
      <c r="J2400" s="898"/>
      <c r="K2400" s="899"/>
      <c r="L2400" s="899"/>
      <c r="M2400" s="899"/>
      <c r="N2400" s="899"/>
      <c r="O2400" s="899"/>
      <c r="P2400" s="899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96"/>
      <c r="E2401" s="677"/>
      <c r="F2401" s="677"/>
      <c r="G2401" s="677"/>
      <c r="H2401" s="897"/>
      <c r="I2401" s="898"/>
      <c r="J2401" s="898"/>
      <c r="K2401" s="899"/>
      <c r="L2401" s="899"/>
      <c r="M2401" s="899"/>
      <c r="N2401" s="899"/>
      <c r="O2401" s="899"/>
      <c r="P2401" s="899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96"/>
      <c r="E2402" s="677"/>
      <c r="F2402" s="677"/>
      <c r="G2402" s="677"/>
      <c r="H2402" s="897"/>
      <c r="I2402" s="898"/>
      <c r="J2402" s="898"/>
      <c r="K2402" s="899"/>
      <c r="L2402" s="899"/>
      <c r="M2402" s="899"/>
      <c r="N2402" s="899"/>
      <c r="O2402" s="899"/>
      <c r="P2402" s="899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96"/>
      <c r="E2403" s="677"/>
      <c r="F2403" s="677"/>
      <c r="G2403" s="677"/>
      <c r="H2403" s="897"/>
      <c r="I2403" s="898"/>
      <c r="J2403" s="898"/>
      <c r="K2403" s="899"/>
      <c r="L2403" s="899"/>
      <c r="M2403" s="899"/>
      <c r="N2403" s="899"/>
      <c r="O2403" s="899"/>
      <c r="P2403" s="899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96"/>
      <c r="E2404" s="677"/>
      <c r="F2404" s="677"/>
      <c r="G2404" s="677"/>
      <c r="H2404" s="897"/>
      <c r="I2404" s="898"/>
      <c r="J2404" s="898"/>
      <c r="K2404" s="899"/>
      <c r="L2404" s="899"/>
      <c r="M2404" s="899"/>
      <c r="N2404" s="899"/>
      <c r="O2404" s="899"/>
      <c r="P2404" s="899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96"/>
      <c r="E2405" s="677"/>
      <c r="F2405" s="677"/>
      <c r="G2405" s="677"/>
      <c r="H2405" s="897"/>
      <c r="I2405" s="898"/>
      <c r="J2405" s="898"/>
      <c r="K2405" s="899"/>
      <c r="L2405" s="899"/>
      <c r="M2405" s="899"/>
      <c r="N2405" s="899"/>
      <c r="O2405" s="899"/>
      <c r="P2405" s="899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96"/>
      <c r="E2406" s="677"/>
      <c r="F2406" s="677"/>
      <c r="G2406" s="677"/>
      <c r="H2406" s="897"/>
      <c r="I2406" s="898"/>
      <c r="J2406" s="898"/>
      <c r="K2406" s="899"/>
      <c r="L2406" s="899"/>
      <c r="M2406" s="899"/>
      <c r="N2406" s="899"/>
      <c r="O2406" s="899"/>
      <c r="P2406" s="899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96"/>
      <c r="E2407" s="677"/>
      <c r="F2407" s="677"/>
      <c r="G2407" s="677"/>
      <c r="H2407" s="897"/>
      <c r="I2407" s="898"/>
      <c r="J2407" s="898"/>
      <c r="K2407" s="899"/>
      <c r="L2407" s="899"/>
      <c r="M2407" s="899"/>
      <c r="N2407" s="899"/>
      <c r="O2407" s="899"/>
      <c r="P2407" s="899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96"/>
      <c r="E2408" s="677"/>
      <c r="F2408" s="677"/>
      <c r="G2408" s="677"/>
      <c r="H2408" s="897"/>
      <c r="I2408" s="898"/>
      <c r="J2408" s="898"/>
      <c r="K2408" s="899"/>
      <c r="L2408" s="899"/>
      <c r="M2408" s="899"/>
      <c r="N2408" s="899"/>
      <c r="O2408" s="899"/>
      <c r="P2408" s="899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96"/>
      <c r="E2409" s="677"/>
      <c r="F2409" s="677"/>
      <c r="G2409" s="677"/>
      <c r="H2409" s="897"/>
      <c r="I2409" s="898"/>
      <c r="J2409" s="898"/>
      <c r="K2409" s="899"/>
      <c r="L2409" s="899"/>
      <c r="M2409" s="899"/>
      <c r="N2409" s="899"/>
      <c r="O2409" s="899"/>
      <c r="P2409" s="899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96"/>
      <c r="E2410" s="677"/>
      <c r="F2410" s="677"/>
      <c r="G2410" s="677"/>
      <c r="H2410" s="897"/>
      <c r="I2410" s="898"/>
      <c r="J2410" s="898"/>
      <c r="K2410" s="899"/>
      <c r="L2410" s="899"/>
      <c r="M2410" s="899"/>
      <c r="N2410" s="899"/>
      <c r="O2410" s="899"/>
      <c r="P2410" s="899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96"/>
      <c r="E2411" s="677"/>
      <c r="F2411" s="677"/>
      <c r="G2411" s="677"/>
      <c r="H2411" s="897"/>
      <c r="I2411" s="898"/>
      <c r="J2411" s="898"/>
      <c r="K2411" s="899"/>
      <c r="L2411" s="899"/>
      <c r="M2411" s="899"/>
      <c r="N2411" s="899"/>
      <c r="O2411" s="899"/>
      <c r="P2411" s="899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96"/>
      <c r="E2412" s="677"/>
      <c r="F2412" s="677"/>
      <c r="G2412" s="677"/>
      <c r="H2412" s="897"/>
      <c r="I2412" s="898"/>
      <c r="J2412" s="898"/>
      <c r="K2412" s="899"/>
      <c r="L2412" s="899"/>
      <c r="M2412" s="899"/>
      <c r="N2412" s="899"/>
      <c r="O2412" s="899"/>
      <c r="P2412" s="899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96"/>
      <c r="E2413" s="677"/>
      <c r="F2413" s="677"/>
      <c r="G2413" s="677"/>
      <c r="H2413" s="897"/>
      <c r="I2413" s="898"/>
      <c r="J2413" s="898"/>
      <c r="K2413" s="899"/>
      <c r="L2413" s="899"/>
      <c r="M2413" s="899"/>
      <c r="N2413" s="899"/>
      <c r="O2413" s="899"/>
      <c r="P2413" s="899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96"/>
      <c r="E2414" s="677"/>
      <c r="F2414" s="677"/>
      <c r="G2414" s="677"/>
      <c r="H2414" s="897"/>
      <c r="I2414" s="898"/>
      <c r="J2414" s="898"/>
      <c r="K2414" s="899"/>
      <c r="L2414" s="899"/>
      <c r="M2414" s="899"/>
      <c r="N2414" s="899"/>
      <c r="O2414" s="899"/>
      <c r="P2414" s="899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96"/>
      <c r="E2415" s="677"/>
      <c r="F2415" s="677"/>
      <c r="G2415" s="677"/>
      <c r="H2415" s="897"/>
      <c r="I2415" s="898"/>
      <c r="J2415" s="898"/>
      <c r="K2415" s="899"/>
      <c r="L2415" s="899"/>
      <c r="M2415" s="899"/>
      <c r="N2415" s="899"/>
      <c r="O2415" s="899"/>
      <c r="P2415" s="899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96"/>
      <c r="E2416" s="677"/>
      <c r="F2416" s="677"/>
      <c r="G2416" s="677"/>
      <c r="H2416" s="897"/>
      <c r="I2416" s="898"/>
      <c r="J2416" s="898"/>
      <c r="K2416" s="899"/>
      <c r="L2416" s="899"/>
      <c r="M2416" s="899"/>
      <c r="N2416" s="899"/>
      <c r="O2416" s="899"/>
      <c r="P2416" s="899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96"/>
      <c r="E2417" s="677"/>
      <c r="F2417" s="677"/>
      <c r="G2417" s="677"/>
      <c r="H2417" s="897"/>
      <c r="I2417" s="898"/>
      <c r="J2417" s="898"/>
      <c r="K2417" s="899"/>
      <c r="L2417" s="899"/>
      <c r="M2417" s="899"/>
      <c r="N2417" s="899"/>
      <c r="O2417" s="899"/>
      <c r="P2417" s="899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96"/>
      <c r="E2418" s="677"/>
      <c r="F2418" s="677"/>
      <c r="G2418" s="677"/>
      <c r="H2418" s="897"/>
      <c r="I2418" s="898"/>
      <c r="J2418" s="898"/>
      <c r="K2418" s="899"/>
      <c r="L2418" s="899"/>
      <c r="M2418" s="899"/>
      <c r="N2418" s="899"/>
      <c r="O2418" s="899"/>
      <c r="P2418" s="899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96"/>
      <c r="E2419" s="677"/>
      <c r="F2419" s="677"/>
      <c r="G2419" s="677"/>
      <c r="H2419" s="897"/>
      <c r="I2419" s="898"/>
      <c r="J2419" s="898"/>
      <c r="K2419" s="899"/>
      <c r="L2419" s="899"/>
      <c r="M2419" s="899"/>
      <c r="N2419" s="899"/>
      <c r="O2419" s="899"/>
      <c r="P2419" s="899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96"/>
      <c r="E2420" s="677"/>
      <c r="F2420" s="677"/>
      <c r="G2420" s="677"/>
      <c r="H2420" s="897"/>
      <c r="I2420" s="898"/>
      <c r="J2420" s="898"/>
      <c r="K2420" s="899"/>
      <c r="L2420" s="899"/>
      <c r="M2420" s="899"/>
      <c r="N2420" s="899"/>
      <c r="O2420" s="899"/>
      <c r="P2420" s="899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96"/>
      <c r="E2421" s="677"/>
      <c r="F2421" s="677"/>
      <c r="G2421" s="677"/>
      <c r="H2421" s="897"/>
      <c r="I2421" s="898"/>
      <c r="J2421" s="898"/>
      <c r="K2421" s="899"/>
      <c r="L2421" s="899"/>
      <c r="M2421" s="899"/>
      <c r="N2421" s="899"/>
      <c r="O2421" s="899"/>
      <c r="P2421" s="899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96"/>
      <c r="E2422" s="677"/>
      <c r="F2422" s="677"/>
      <c r="G2422" s="677"/>
      <c r="H2422" s="897"/>
      <c r="I2422" s="898"/>
      <c r="J2422" s="898"/>
      <c r="K2422" s="899"/>
      <c r="L2422" s="899"/>
      <c r="M2422" s="899"/>
      <c r="N2422" s="899"/>
      <c r="O2422" s="899"/>
      <c r="P2422" s="899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96"/>
      <c r="E2423" s="677"/>
      <c r="F2423" s="677"/>
      <c r="G2423" s="677"/>
      <c r="H2423" s="897"/>
      <c r="I2423" s="898"/>
      <c r="J2423" s="898"/>
      <c r="K2423" s="899"/>
      <c r="L2423" s="899"/>
      <c r="M2423" s="899"/>
      <c r="N2423" s="899"/>
      <c r="O2423" s="899"/>
      <c r="P2423" s="899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96"/>
      <c r="E2424" s="677"/>
      <c r="F2424" s="677"/>
      <c r="G2424" s="677"/>
      <c r="H2424" s="897"/>
      <c r="I2424" s="898"/>
      <c r="J2424" s="898"/>
      <c r="K2424" s="899"/>
      <c r="L2424" s="899"/>
      <c r="M2424" s="899"/>
      <c r="N2424" s="899"/>
      <c r="O2424" s="899"/>
      <c r="P2424" s="899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96"/>
      <c r="E2425" s="677"/>
      <c r="F2425" s="677"/>
      <c r="G2425" s="677"/>
      <c r="H2425" s="897"/>
      <c r="I2425" s="898"/>
      <c r="J2425" s="898"/>
      <c r="K2425" s="899"/>
      <c r="L2425" s="899"/>
      <c r="M2425" s="899"/>
      <c r="N2425" s="899"/>
      <c r="O2425" s="899"/>
      <c r="P2425" s="899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96"/>
      <c r="E2426" s="677"/>
      <c r="F2426" s="677"/>
      <c r="G2426" s="677"/>
      <c r="H2426" s="897"/>
      <c r="I2426" s="898"/>
      <c r="J2426" s="898"/>
      <c r="K2426" s="899"/>
      <c r="L2426" s="899"/>
      <c r="M2426" s="899"/>
      <c r="N2426" s="899"/>
      <c r="O2426" s="899"/>
      <c r="P2426" s="899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96"/>
      <c r="E2427" s="677"/>
      <c r="F2427" s="677"/>
      <c r="G2427" s="677"/>
      <c r="H2427" s="897"/>
      <c r="I2427" s="898"/>
      <c r="J2427" s="898"/>
      <c r="K2427" s="899"/>
      <c r="L2427" s="899"/>
      <c r="M2427" s="899"/>
      <c r="N2427" s="899"/>
      <c r="O2427" s="899"/>
      <c r="P2427" s="899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96"/>
      <c r="E2428" s="677"/>
      <c r="F2428" s="677"/>
      <c r="G2428" s="677"/>
      <c r="H2428" s="897"/>
      <c r="I2428" s="898"/>
      <c r="J2428" s="898"/>
      <c r="K2428" s="899"/>
      <c r="L2428" s="899"/>
      <c r="M2428" s="899"/>
      <c r="N2428" s="899"/>
      <c r="O2428" s="899"/>
      <c r="P2428" s="899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96"/>
      <c r="E2429" s="677"/>
      <c r="F2429" s="677"/>
      <c r="G2429" s="677"/>
      <c r="H2429" s="897"/>
      <c r="I2429" s="898"/>
      <c r="J2429" s="898"/>
      <c r="K2429" s="899"/>
      <c r="L2429" s="899"/>
      <c r="M2429" s="899"/>
      <c r="N2429" s="899"/>
      <c r="O2429" s="899"/>
      <c r="P2429" s="899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96"/>
      <c r="E2430" s="677"/>
      <c r="F2430" s="677"/>
      <c r="G2430" s="677"/>
      <c r="H2430" s="897"/>
      <c r="I2430" s="898"/>
      <c r="J2430" s="898"/>
      <c r="K2430" s="899"/>
      <c r="L2430" s="899"/>
      <c r="M2430" s="899"/>
      <c r="N2430" s="899"/>
      <c r="O2430" s="899"/>
      <c r="P2430" s="899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96"/>
      <c r="E2431" s="677"/>
      <c r="F2431" s="677"/>
      <c r="G2431" s="677"/>
      <c r="H2431" s="897"/>
      <c r="I2431" s="898"/>
      <c r="J2431" s="898"/>
      <c r="K2431" s="899"/>
      <c r="L2431" s="899"/>
      <c r="M2431" s="899"/>
      <c r="N2431" s="899"/>
      <c r="O2431" s="899"/>
      <c r="P2431" s="899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96"/>
      <c r="E2432" s="677"/>
      <c r="F2432" s="677"/>
      <c r="G2432" s="677"/>
      <c r="H2432" s="897"/>
      <c r="I2432" s="898"/>
      <c r="J2432" s="898"/>
      <c r="K2432" s="899"/>
      <c r="L2432" s="899"/>
      <c r="M2432" s="899"/>
      <c r="N2432" s="899"/>
      <c r="O2432" s="899"/>
      <c r="P2432" s="899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96"/>
      <c r="E2433" s="677"/>
      <c r="F2433" s="677"/>
      <c r="G2433" s="677"/>
      <c r="H2433" s="897"/>
      <c r="I2433" s="898"/>
      <c r="J2433" s="898"/>
      <c r="K2433" s="899"/>
      <c r="L2433" s="899"/>
      <c r="M2433" s="899"/>
      <c r="N2433" s="899"/>
      <c r="O2433" s="899"/>
      <c r="P2433" s="899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96"/>
      <c r="E2434" s="677"/>
      <c r="F2434" s="677"/>
      <c r="G2434" s="677"/>
      <c r="H2434" s="897"/>
      <c r="I2434" s="898"/>
      <c r="J2434" s="898"/>
      <c r="K2434" s="899"/>
      <c r="L2434" s="899"/>
      <c r="M2434" s="899"/>
      <c r="N2434" s="899"/>
      <c r="O2434" s="899"/>
      <c r="P2434" s="899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96"/>
      <c r="E2435" s="677"/>
      <c r="F2435" s="677"/>
      <c r="G2435" s="677"/>
      <c r="H2435" s="897"/>
      <c r="I2435" s="898"/>
      <c r="J2435" s="898"/>
      <c r="K2435" s="899"/>
      <c r="L2435" s="899"/>
      <c r="M2435" s="899"/>
      <c r="N2435" s="899"/>
      <c r="O2435" s="899"/>
      <c r="P2435" s="899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96"/>
      <c r="E2436" s="677"/>
      <c r="F2436" s="677"/>
      <c r="G2436" s="677"/>
      <c r="H2436" s="897"/>
      <c r="I2436" s="898"/>
      <c r="J2436" s="898"/>
      <c r="K2436" s="899"/>
      <c r="L2436" s="899"/>
      <c r="M2436" s="899"/>
      <c r="N2436" s="899"/>
      <c r="O2436" s="899"/>
      <c r="P2436" s="899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96"/>
      <c r="E2437" s="677"/>
      <c r="F2437" s="677"/>
      <c r="G2437" s="677"/>
      <c r="H2437" s="897"/>
      <c r="I2437" s="898"/>
      <c r="J2437" s="898"/>
      <c r="K2437" s="899"/>
      <c r="L2437" s="899"/>
      <c r="M2437" s="899"/>
      <c r="N2437" s="899"/>
      <c r="O2437" s="899"/>
      <c r="P2437" s="899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96"/>
      <c r="E2438" s="677"/>
      <c r="F2438" s="677"/>
      <c r="G2438" s="677"/>
      <c r="H2438" s="897"/>
      <c r="I2438" s="898"/>
      <c r="J2438" s="898"/>
      <c r="K2438" s="899"/>
      <c r="L2438" s="899"/>
      <c r="M2438" s="899"/>
      <c r="N2438" s="899"/>
      <c r="O2438" s="899"/>
      <c r="P2438" s="899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96"/>
      <c r="E2439" s="677"/>
      <c r="F2439" s="677"/>
      <c r="G2439" s="677"/>
      <c r="H2439" s="897"/>
      <c r="I2439" s="898"/>
      <c r="J2439" s="898"/>
      <c r="K2439" s="899"/>
      <c r="L2439" s="899"/>
      <c r="M2439" s="899"/>
      <c r="N2439" s="899"/>
      <c r="O2439" s="899"/>
      <c r="P2439" s="899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96"/>
      <c r="E2440" s="677"/>
      <c r="F2440" s="677"/>
      <c r="G2440" s="677"/>
      <c r="H2440" s="897"/>
      <c r="I2440" s="898"/>
      <c r="J2440" s="898"/>
      <c r="K2440" s="899"/>
      <c r="L2440" s="899"/>
      <c r="M2440" s="899"/>
      <c r="N2440" s="899"/>
      <c r="O2440" s="899"/>
      <c r="P2440" s="899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96"/>
      <c r="E2441" s="677"/>
      <c r="F2441" s="677"/>
      <c r="G2441" s="677"/>
      <c r="H2441" s="897"/>
      <c r="I2441" s="898"/>
      <c r="J2441" s="898"/>
      <c r="K2441" s="899"/>
      <c r="L2441" s="899"/>
      <c r="M2441" s="899"/>
      <c r="N2441" s="899"/>
      <c r="O2441" s="899"/>
      <c r="P2441" s="899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96"/>
      <c r="E2442" s="677"/>
      <c r="F2442" s="677"/>
      <c r="G2442" s="677"/>
      <c r="H2442" s="897"/>
      <c r="I2442" s="898"/>
      <c r="J2442" s="898"/>
      <c r="K2442" s="899"/>
      <c r="L2442" s="899"/>
      <c r="M2442" s="899"/>
      <c r="N2442" s="899"/>
      <c r="O2442" s="899"/>
      <c r="P2442" s="899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96"/>
      <c r="E2443" s="677"/>
      <c r="F2443" s="677"/>
      <c r="G2443" s="677"/>
      <c r="H2443" s="897"/>
      <c r="I2443" s="898"/>
      <c r="J2443" s="898"/>
      <c r="K2443" s="899"/>
      <c r="L2443" s="899"/>
      <c r="M2443" s="899"/>
      <c r="N2443" s="899"/>
      <c r="O2443" s="899"/>
      <c r="P2443" s="899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96"/>
      <c r="E2444" s="677"/>
      <c r="F2444" s="677"/>
      <c r="G2444" s="677"/>
      <c r="H2444" s="897"/>
      <c r="I2444" s="898"/>
      <c r="J2444" s="898"/>
      <c r="K2444" s="899"/>
      <c r="L2444" s="899"/>
      <c r="M2444" s="899"/>
      <c r="N2444" s="899"/>
      <c r="O2444" s="899"/>
      <c r="P2444" s="899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96"/>
      <c r="E2445" s="677"/>
      <c r="F2445" s="677"/>
      <c r="G2445" s="677"/>
      <c r="H2445" s="897"/>
      <c r="I2445" s="898"/>
      <c r="J2445" s="898"/>
      <c r="K2445" s="899"/>
      <c r="L2445" s="899"/>
      <c r="M2445" s="899"/>
      <c r="N2445" s="899"/>
      <c r="O2445" s="899"/>
      <c r="P2445" s="899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96"/>
      <c r="E2446" s="677"/>
      <c r="F2446" s="677"/>
      <c r="G2446" s="677"/>
      <c r="H2446" s="897"/>
      <c r="I2446" s="898"/>
      <c r="J2446" s="898"/>
      <c r="K2446" s="899"/>
      <c r="L2446" s="899"/>
      <c r="M2446" s="899"/>
      <c r="N2446" s="899"/>
      <c r="O2446" s="899"/>
      <c r="P2446" s="899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96"/>
      <c r="E2447" s="677"/>
      <c r="F2447" s="677"/>
      <c r="G2447" s="677"/>
      <c r="H2447" s="897"/>
      <c r="I2447" s="898"/>
      <c r="J2447" s="898"/>
      <c r="K2447" s="899"/>
      <c r="L2447" s="899"/>
      <c r="M2447" s="899"/>
      <c r="N2447" s="899"/>
      <c r="O2447" s="899"/>
      <c r="P2447" s="899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96"/>
      <c r="E2448" s="677"/>
      <c r="F2448" s="677"/>
      <c r="G2448" s="677"/>
      <c r="H2448" s="897"/>
      <c r="I2448" s="898"/>
      <c r="J2448" s="898"/>
      <c r="K2448" s="899"/>
      <c r="L2448" s="899"/>
      <c r="M2448" s="899"/>
      <c r="N2448" s="899"/>
      <c r="O2448" s="899"/>
      <c r="P2448" s="899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96"/>
      <c r="E2449" s="677"/>
      <c r="F2449" s="677"/>
      <c r="G2449" s="677"/>
      <c r="H2449" s="897"/>
      <c r="I2449" s="898"/>
      <c r="J2449" s="898"/>
      <c r="K2449" s="899"/>
      <c r="L2449" s="899"/>
      <c r="M2449" s="899"/>
      <c r="N2449" s="899"/>
      <c r="O2449" s="899"/>
      <c r="P2449" s="899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96"/>
      <c r="E2450" s="677"/>
      <c r="F2450" s="677"/>
      <c r="G2450" s="677"/>
      <c r="H2450" s="897"/>
      <c r="I2450" s="898"/>
      <c r="J2450" s="898"/>
      <c r="K2450" s="899"/>
      <c r="L2450" s="899"/>
      <c r="M2450" s="899"/>
      <c r="N2450" s="899"/>
      <c r="O2450" s="899"/>
      <c r="P2450" s="899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96"/>
      <c r="E2451" s="677"/>
      <c r="F2451" s="677"/>
      <c r="G2451" s="677"/>
      <c r="H2451" s="897"/>
      <c r="I2451" s="898"/>
      <c r="J2451" s="898"/>
      <c r="K2451" s="899"/>
      <c r="L2451" s="899"/>
      <c r="M2451" s="899"/>
      <c r="N2451" s="899"/>
      <c r="O2451" s="899"/>
      <c r="P2451" s="899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96"/>
      <c r="E2452" s="677"/>
      <c r="F2452" s="677"/>
      <c r="G2452" s="677"/>
      <c r="H2452" s="897"/>
      <c r="I2452" s="898"/>
      <c r="J2452" s="898"/>
      <c r="K2452" s="899"/>
      <c r="L2452" s="899"/>
      <c r="M2452" s="899"/>
      <c r="N2452" s="899"/>
      <c r="O2452" s="899"/>
      <c r="P2452" s="899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96"/>
      <c r="E2453" s="677"/>
      <c r="F2453" s="677"/>
      <c r="G2453" s="677"/>
      <c r="H2453" s="897"/>
      <c r="I2453" s="898"/>
      <c r="J2453" s="898"/>
      <c r="K2453" s="899"/>
      <c r="L2453" s="899"/>
      <c r="M2453" s="899"/>
      <c r="N2453" s="899"/>
      <c r="O2453" s="899"/>
      <c r="P2453" s="899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96"/>
      <c r="E2454" s="677"/>
      <c r="F2454" s="677"/>
      <c r="G2454" s="677"/>
      <c r="H2454" s="897"/>
      <c r="I2454" s="898"/>
      <c r="J2454" s="898"/>
      <c r="K2454" s="899"/>
      <c r="L2454" s="899"/>
      <c r="M2454" s="899"/>
      <c r="N2454" s="899"/>
      <c r="O2454" s="899"/>
      <c r="P2454" s="899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96"/>
      <c r="E2455" s="677"/>
      <c r="F2455" s="677"/>
      <c r="G2455" s="677"/>
      <c r="H2455" s="897"/>
      <c r="I2455" s="898"/>
      <c r="J2455" s="898"/>
      <c r="K2455" s="899"/>
      <c r="L2455" s="899"/>
      <c r="M2455" s="899"/>
      <c r="N2455" s="899"/>
      <c r="O2455" s="899"/>
      <c r="P2455" s="899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96"/>
      <c r="E2456" s="677"/>
      <c r="F2456" s="677"/>
      <c r="G2456" s="677"/>
      <c r="H2456" s="897"/>
      <c r="I2456" s="898"/>
      <c r="J2456" s="898"/>
      <c r="K2456" s="899"/>
      <c r="L2456" s="899"/>
      <c r="M2456" s="899"/>
      <c r="N2456" s="899"/>
      <c r="O2456" s="899"/>
      <c r="P2456" s="899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96"/>
      <c r="E2457" s="677"/>
      <c r="F2457" s="677"/>
      <c r="G2457" s="677"/>
      <c r="H2457" s="897"/>
      <c r="I2457" s="898"/>
      <c r="J2457" s="898"/>
      <c r="K2457" s="899"/>
      <c r="L2457" s="899"/>
      <c r="M2457" s="899"/>
      <c r="N2457" s="899"/>
      <c r="O2457" s="899"/>
      <c r="P2457" s="899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96"/>
      <c r="E2458" s="677"/>
      <c r="F2458" s="677"/>
      <c r="G2458" s="677"/>
      <c r="H2458" s="897"/>
      <c r="I2458" s="898"/>
      <c r="J2458" s="898"/>
      <c r="K2458" s="899"/>
      <c r="L2458" s="899"/>
      <c r="M2458" s="899"/>
      <c r="N2458" s="899"/>
      <c r="O2458" s="899"/>
      <c r="P2458" s="899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96"/>
      <c r="E2459" s="677"/>
      <c r="F2459" s="677"/>
      <c r="G2459" s="677"/>
      <c r="H2459" s="897"/>
      <c r="I2459" s="898"/>
      <c r="J2459" s="898"/>
      <c r="K2459" s="899"/>
      <c r="L2459" s="899"/>
      <c r="M2459" s="899"/>
      <c r="N2459" s="899"/>
      <c r="O2459" s="899"/>
      <c r="P2459" s="899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96"/>
      <c r="E2460" s="677"/>
      <c r="F2460" s="677"/>
      <c r="G2460" s="677"/>
      <c r="H2460" s="897"/>
      <c r="I2460" s="898"/>
      <c r="J2460" s="898"/>
      <c r="K2460" s="899"/>
      <c r="L2460" s="899"/>
      <c r="M2460" s="899"/>
      <c r="N2460" s="899"/>
      <c r="O2460" s="899"/>
      <c r="P2460" s="899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96"/>
      <c r="E2461" s="677"/>
      <c r="F2461" s="677"/>
      <c r="G2461" s="677"/>
      <c r="H2461" s="897"/>
      <c r="I2461" s="898"/>
      <c r="J2461" s="898"/>
      <c r="K2461" s="899"/>
      <c r="L2461" s="899"/>
      <c r="M2461" s="899"/>
      <c r="N2461" s="899"/>
      <c r="O2461" s="899"/>
      <c r="P2461" s="899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96"/>
      <c r="E2462" s="677"/>
      <c r="F2462" s="677"/>
      <c r="G2462" s="677"/>
      <c r="H2462" s="897"/>
      <c r="I2462" s="898"/>
      <c r="J2462" s="898"/>
      <c r="K2462" s="899"/>
      <c r="L2462" s="899"/>
      <c r="M2462" s="899"/>
      <c r="N2462" s="899"/>
      <c r="O2462" s="899"/>
      <c r="P2462" s="899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96"/>
      <c r="E2463" s="677"/>
      <c r="F2463" s="677"/>
      <c r="G2463" s="677"/>
      <c r="H2463" s="897"/>
      <c r="I2463" s="898"/>
      <c r="J2463" s="898"/>
      <c r="K2463" s="899"/>
      <c r="L2463" s="899"/>
      <c r="M2463" s="899"/>
      <c r="N2463" s="899"/>
      <c r="O2463" s="899"/>
      <c r="P2463" s="899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96"/>
      <c r="E2464" s="677"/>
      <c r="F2464" s="677"/>
      <c r="G2464" s="677"/>
      <c r="H2464" s="897"/>
      <c r="I2464" s="898"/>
      <c r="J2464" s="898"/>
      <c r="K2464" s="899"/>
      <c r="L2464" s="899"/>
      <c r="M2464" s="899"/>
      <c r="N2464" s="899"/>
      <c r="O2464" s="899"/>
      <c r="P2464" s="899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96"/>
      <c r="E2465" s="677"/>
      <c r="F2465" s="677"/>
      <c r="G2465" s="677"/>
      <c r="H2465" s="897"/>
      <c r="I2465" s="898"/>
      <c r="J2465" s="898"/>
      <c r="K2465" s="899"/>
      <c r="L2465" s="899"/>
      <c r="M2465" s="899"/>
      <c r="N2465" s="899"/>
      <c r="O2465" s="899"/>
      <c r="P2465" s="899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96"/>
      <c r="E2466" s="677"/>
      <c r="F2466" s="677"/>
      <c r="G2466" s="677"/>
      <c r="H2466" s="897"/>
      <c r="I2466" s="898"/>
      <c r="J2466" s="898"/>
      <c r="K2466" s="899"/>
      <c r="L2466" s="899"/>
      <c r="M2466" s="899"/>
      <c r="N2466" s="899"/>
      <c r="O2466" s="899"/>
      <c r="P2466" s="899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96"/>
      <c r="E2467" s="677"/>
      <c r="F2467" s="677"/>
      <c r="G2467" s="677"/>
      <c r="H2467" s="897"/>
      <c r="I2467" s="898"/>
      <c r="J2467" s="898"/>
      <c r="K2467" s="899"/>
      <c r="L2467" s="899"/>
      <c r="M2467" s="899"/>
      <c r="N2467" s="899"/>
      <c r="O2467" s="899"/>
      <c r="P2467" s="899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96"/>
      <c r="E2468" s="677"/>
      <c r="F2468" s="677"/>
      <c r="G2468" s="677"/>
      <c r="H2468" s="897"/>
      <c r="I2468" s="898"/>
      <c r="J2468" s="898"/>
      <c r="K2468" s="899"/>
      <c r="L2468" s="899"/>
      <c r="M2468" s="899"/>
      <c r="N2468" s="899"/>
      <c r="O2468" s="899"/>
      <c r="P2468" s="899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96"/>
      <c r="E2469" s="677"/>
      <c r="F2469" s="677"/>
      <c r="G2469" s="677"/>
      <c r="H2469" s="897"/>
      <c r="I2469" s="898"/>
      <c r="J2469" s="898"/>
      <c r="K2469" s="899"/>
      <c r="L2469" s="899"/>
      <c r="M2469" s="899"/>
      <c r="N2469" s="899"/>
      <c r="O2469" s="899"/>
      <c r="P2469" s="899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96"/>
      <c r="E2470" s="677"/>
      <c r="F2470" s="677"/>
      <c r="G2470" s="677"/>
      <c r="H2470" s="897"/>
      <c r="I2470" s="898"/>
      <c r="J2470" s="898"/>
      <c r="K2470" s="899"/>
      <c r="L2470" s="899"/>
      <c r="M2470" s="899"/>
      <c r="N2470" s="899"/>
      <c r="O2470" s="899"/>
      <c r="P2470" s="899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96"/>
      <c r="E2471" s="677"/>
      <c r="F2471" s="677"/>
      <c r="G2471" s="677"/>
      <c r="H2471" s="897"/>
      <c r="I2471" s="898"/>
      <c r="J2471" s="898"/>
      <c r="K2471" s="899"/>
      <c r="L2471" s="899"/>
      <c r="M2471" s="899"/>
      <c r="N2471" s="899"/>
      <c r="O2471" s="899"/>
      <c r="P2471" s="899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96"/>
      <c r="E2472" s="677"/>
      <c r="F2472" s="677"/>
      <c r="G2472" s="677"/>
      <c r="H2472" s="897"/>
      <c r="I2472" s="898"/>
      <c r="J2472" s="898"/>
      <c r="K2472" s="899"/>
      <c r="L2472" s="899"/>
      <c r="M2472" s="899"/>
      <c r="N2472" s="899"/>
      <c r="O2472" s="899"/>
      <c r="P2472" s="899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96"/>
      <c r="E2473" s="677"/>
      <c r="F2473" s="677"/>
      <c r="G2473" s="677"/>
      <c r="H2473" s="897"/>
      <c r="I2473" s="898"/>
      <c r="J2473" s="898"/>
      <c r="K2473" s="899"/>
      <c r="L2473" s="899"/>
      <c r="M2473" s="899"/>
      <c r="N2473" s="899"/>
      <c r="O2473" s="899"/>
      <c r="P2473" s="899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96"/>
      <c r="E2474" s="677"/>
      <c r="F2474" s="677"/>
      <c r="G2474" s="677"/>
      <c r="H2474" s="897"/>
      <c r="I2474" s="898"/>
      <c r="J2474" s="898"/>
      <c r="K2474" s="899"/>
      <c r="L2474" s="899"/>
      <c r="M2474" s="899"/>
      <c r="N2474" s="899"/>
      <c r="O2474" s="899"/>
      <c r="P2474" s="899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96"/>
      <c r="E2475" s="677"/>
      <c r="F2475" s="677"/>
      <c r="G2475" s="677"/>
      <c r="H2475" s="897"/>
      <c r="I2475" s="898"/>
      <c r="J2475" s="898"/>
      <c r="K2475" s="899"/>
      <c r="L2475" s="899"/>
      <c r="M2475" s="899"/>
      <c r="N2475" s="899"/>
      <c r="O2475" s="899"/>
      <c r="P2475" s="899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96"/>
      <c r="E2476" s="677"/>
      <c r="F2476" s="677"/>
      <c r="G2476" s="677"/>
      <c r="H2476" s="897"/>
      <c r="I2476" s="898"/>
      <c r="J2476" s="898"/>
      <c r="K2476" s="899"/>
      <c r="L2476" s="899"/>
      <c r="M2476" s="899"/>
      <c r="N2476" s="899"/>
      <c r="O2476" s="899"/>
      <c r="P2476" s="899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96"/>
      <c r="E2477" s="677"/>
      <c r="F2477" s="677"/>
      <c r="G2477" s="677"/>
      <c r="H2477" s="897"/>
      <c r="I2477" s="898"/>
      <c r="J2477" s="898"/>
      <c r="K2477" s="899"/>
      <c r="L2477" s="899"/>
      <c r="M2477" s="899"/>
      <c r="N2477" s="899"/>
      <c r="O2477" s="899"/>
      <c r="P2477" s="899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96"/>
      <c r="E2478" s="677"/>
      <c r="F2478" s="677"/>
      <c r="G2478" s="677"/>
      <c r="H2478" s="897"/>
      <c r="I2478" s="898"/>
      <c r="J2478" s="898"/>
      <c r="K2478" s="899"/>
      <c r="L2478" s="899"/>
      <c r="M2478" s="899"/>
      <c r="N2478" s="899"/>
      <c r="O2478" s="899"/>
      <c r="P2478" s="899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96"/>
      <c r="E2479" s="677"/>
      <c r="F2479" s="677"/>
      <c r="G2479" s="677"/>
      <c r="H2479" s="897"/>
      <c r="I2479" s="898"/>
      <c r="J2479" s="898"/>
      <c r="K2479" s="899"/>
      <c r="L2479" s="899"/>
      <c r="M2479" s="899"/>
      <c r="N2479" s="899"/>
      <c r="O2479" s="899"/>
      <c r="P2479" s="899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96"/>
      <c r="E2480" s="677"/>
      <c r="F2480" s="677"/>
      <c r="G2480" s="677"/>
      <c r="H2480" s="897"/>
      <c r="I2480" s="898"/>
      <c r="J2480" s="898"/>
      <c r="K2480" s="899"/>
      <c r="L2480" s="899"/>
      <c r="M2480" s="899"/>
      <c r="N2480" s="899"/>
      <c r="O2480" s="899"/>
      <c r="P2480" s="899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96"/>
      <c r="E2481" s="677"/>
      <c r="F2481" s="677"/>
      <c r="G2481" s="677"/>
      <c r="H2481" s="897"/>
      <c r="I2481" s="898"/>
      <c r="J2481" s="898"/>
      <c r="K2481" s="899"/>
      <c r="L2481" s="899"/>
      <c r="M2481" s="899"/>
      <c r="N2481" s="899"/>
      <c r="O2481" s="899"/>
      <c r="P2481" s="899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96"/>
      <c r="E2482" s="677"/>
      <c r="F2482" s="677"/>
      <c r="G2482" s="677"/>
      <c r="H2482" s="897"/>
      <c r="I2482" s="898"/>
      <c r="J2482" s="898"/>
      <c r="K2482" s="899"/>
      <c r="L2482" s="899"/>
      <c r="M2482" s="899"/>
      <c r="N2482" s="899"/>
      <c r="O2482" s="899"/>
      <c r="P2482" s="899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96"/>
      <c r="E2483" s="677"/>
      <c r="F2483" s="677"/>
      <c r="G2483" s="677"/>
      <c r="H2483" s="897"/>
      <c r="I2483" s="898"/>
      <c r="J2483" s="898"/>
      <c r="K2483" s="899"/>
      <c r="L2483" s="899"/>
      <c r="M2483" s="899"/>
      <c r="N2483" s="899"/>
      <c r="O2483" s="899"/>
      <c r="P2483" s="899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96"/>
      <c r="E2484" s="677"/>
      <c r="F2484" s="677"/>
      <c r="G2484" s="677"/>
      <c r="H2484" s="897"/>
      <c r="I2484" s="898"/>
      <c r="J2484" s="898"/>
      <c r="K2484" s="899"/>
      <c r="L2484" s="899"/>
      <c r="M2484" s="899"/>
      <c r="N2484" s="899"/>
      <c r="O2484" s="899"/>
      <c r="P2484" s="899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96"/>
      <c r="E2485" s="677"/>
      <c r="F2485" s="677"/>
      <c r="G2485" s="677"/>
      <c r="H2485" s="897"/>
      <c r="I2485" s="898"/>
      <c r="J2485" s="898"/>
      <c r="K2485" s="899"/>
      <c r="L2485" s="899"/>
      <c r="M2485" s="899"/>
      <c r="N2485" s="899"/>
      <c r="O2485" s="899"/>
      <c r="P2485" s="899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96"/>
      <c r="E2486" s="677"/>
      <c r="F2486" s="677"/>
      <c r="G2486" s="677"/>
      <c r="H2486" s="897"/>
      <c r="I2486" s="898"/>
      <c r="J2486" s="898"/>
      <c r="K2486" s="899"/>
      <c r="L2486" s="899"/>
      <c r="M2486" s="899"/>
      <c r="N2486" s="899"/>
      <c r="O2486" s="899"/>
      <c r="P2486" s="899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96"/>
      <c r="E2487" s="677"/>
      <c r="F2487" s="677"/>
      <c r="G2487" s="677"/>
      <c r="H2487" s="897"/>
      <c r="I2487" s="898"/>
      <c r="J2487" s="898"/>
      <c r="K2487" s="899"/>
      <c r="L2487" s="899"/>
      <c r="M2487" s="899"/>
      <c r="N2487" s="899"/>
      <c r="O2487" s="899"/>
      <c r="P2487" s="899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96"/>
      <c r="E2488" s="677"/>
      <c r="F2488" s="677"/>
      <c r="G2488" s="677"/>
      <c r="H2488" s="897"/>
      <c r="I2488" s="898"/>
      <c r="J2488" s="898"/>
      <c r="K2488" s="899"/>
      <c r="L2488" s="899"/>
      <c r="M2488" s="899"/>
      <c r="N2488" s="899"/>
      <c r="O2488" s="899"/>
      <c r="P2488" s="899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96"/>
      <c r="E2489" s="677"/>
      <c r="F2489" s="677"/>
      <c r="G2489" s="677"/>
      <c r="H2489" s="897"/>
      <c r="I2489" s="898"/>
      <c r="J2489" s="898"/>
      <c r="K2489" s="899"/>
      <c r="L2489" s="899"/>
      <c r="M2489" s="899"/>
      <c r="N2489" s="899"/>
      <c r="O2489" s="899"/>
      <c r="P2489" s="899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96"/>
      <c r="E2490" s="677"/>
      <c r="F2490" s="677"/>
      <c r="G2490" s="677"/>
      <c r="H2490" s="897"/>
      <c r="I2490" s="898"/>
      <c r="J2490" s="898"/>
      <c r="K2490" s="899"/>
      <c r="L2490" s="899"/>
      <c r="M2490" s="899"/>
      <c r="N2490" s="899"/>
      <c r="O2490" s="899"/>
      <c r="P2490" s="899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96"/>
      <c r="E2491" s="677"/>
      <c r="F2491" s="677"/>
      <c r="G2491" s="677"/>
      <c r="H2491" s="897"/>
      <c r="I2491" s="898"/>
      <c r="J2491" s="898"/>
      <c r="K2491" s="899"/>
      <c r="L2491" s="899"/>
      <c r="M2491" s="899"/>
      <c r="N2491" s="899"/>
      <c r="O2491" s="899"/>
      <c r="P2491" s="899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96"/>
      <c r="E2492" s="677"/>
      <c r="F2492" s="677"/>
      <c r="G2492" s="677"/>
      <c r="H2492" s="897"/>
      <c r="I2492" s="898"/>
      <c r="J2492" s="898"/>
      <c r="K2492" s="899"/>
      <c r="L2492" s="899"/>
      <c r="M2492" s="899"/>
      <c r="N2492" s="899"/>
      <c r="O2492" s="899"/>
      <c r="P2492" s="899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96"/>
      <c r="E2493" s="677"/>
      <c r="F2493" s="677"/>
      <c r="G2493" s="677"/>
      <c r="H2493" s="897"/>
      <c r="I2493" s="898"/>
      <c r="J2493" s="898"/>
      <c r="K2493" s="899"/>
      <c r="L2493" s="899"/>
      <c r="M2493" s="899"/>
      <c r="N2493" s="899"/>
      <c r="O2493" s="899"/>
      <c r="P2493" s="899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96"/>
      <c r="E2494" s="677"/>
      <c r="F2494" s="677"/>
      <c r="G2494" s="677"/>
      <c r="H2494" s="897"/>
      <c r="I2494" s="898"/>
      <c r="J2494" s="898"/>
      <c r="K2494" s="899"/>
      <c r="L2494" s="899"/>
      <c r="M2494" s="899"/>
      <c r="N2494" s="899"/>
      <c r="O2494" s="899"/>
      <c r="P2494" s="899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96"/>
      <c r="E2495" s="677"/>
      <c r="F2495" s="677"/>
      <c r="G2495" s="677"/>
      <c r="H2495" s="897"/>
      <c r="I2495" s="898"/>
      <c r="J2495" s="898"/>
      <c r="K2495" s="899"/>
      <c r="L2495" s="899"/>
      <c r="M2495" s="899"/>
      <c r="N2495" s="899"/>
      <c r="O2495" s="899"/>
      <c r="P2495" s="899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96"/>
      <c r="E2496" s="677"/>
      <c r="F2496" s="677"/>
      <c r="G2496" s="677"/>
      <c r="H2496" s="897"/>
      <c r="I2496" s="898"/>
      <c r="J2496" s="898"/>
      <c r="K2496" s="899"/>
      <c r="L2496" s="899"/>
      <c r="M2496" s="899"/>
      <c r="N2496" s="899"/>
      <c r="O2496" s="899"/>
      <c r="P2496" s="899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96"/>
      <c r="E2497" s="677"/>
      <c r="F2497" s="677"/>
      <c r="G2497" s="677"/>
      <c r="H2497" s="897"/>
      <c r="I2497" s="898"/>
      <c r="J2497" s="898"/>
      <c r="K2497" s="899"/>
      <c r="L2497" s="899"/>
      <c r="M2497" s="899"/>
      <c r="N2497" s="899"/>
      <c r="O2497" s="899"/>
      <c r="P2497" s="899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96"/>
      <c r="E2498" s="677"/>
      <c r="F2498" s="677"/>
      <c r="G2498" s="677"/>
      <c r="H2498" s="897"/>
      <c r="I2498" s="898"/>
      <c r="J2498" s="898"/>
      <c r="K2498" s="899"/>
      <c r="L2498" s="899"/>
      <c r="M2498" s="899"/>
      <c r="N2498" s="899"/>
      <c r="O2498" s="899"/>
      <c r="P2498" s="899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96"/>
      <c r="E2499" s="677"/>
      <c r="F2499" s="677"/>
      <c r="G2499" s="677"/>
      <c r="H2499" s="897"/>
      <c r="I2499" s="898"/>
      <c r="J2499" s="898"/>
      <c r="K2499" s="899"/>
      <c r="L2499" s="899"/>
      <c r="M2499" s="899"/>
      <c r="N2499" s="899"/>
      <c r="O2499" s="899"/>
      <c r="P2499" s="899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96"/>
      <c r="E2500" s="677"/>
      <c r="F2500" s="677"/>
      <c r="G2500" s="677"/>
      <c r="H2500" s="897"/>
      <c r="I2500" s="898"/>
      <c r="J2500" s="898"/>
      <c r="K2500" s="899"/>
      <c r="L2500" s="899"/>
      <c r="M2500" s="899"/>
      <c r="N2500" s="899"/>
      <c r="O2500" s="899"/>
      <c r="P2500" s="899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96"/>
      <c r="E2501" s="677"/>
      <c r="F2501" s="677"/>
      <c r="G2501" s="677"/>
      <c r="H2501" s="897"/>
      <c r="I2501" s="898"/>
      <c r="J2501" s="898"/>
      <c r="K2501" s="899"/>
      <c r="L2501" s="899"/>
      <c r="M2501" s="899"/>
      <c r="N2501" s="899"/>
      <c r="O2501" s="899"/>
      <c r="P2501" s="899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96"/>
      <c r="E2502" s="677"/>
      <c r="F2502" s="677"/>
      <c r="G2502" s="677"/>
      <c r="H2502" s="897"/>
      <c r="I2502" s="898"/>
      <c r="J2502" s="898"/>
      <c r="K2502" s="899"/>
      <c r="L2502" s="899"/>
      <c r="M2502" s="899"/>
      <c r="N2502" s="899"/>
      <c r="O2502" s="899"/>
      <c r="P2502" s="899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96"/>
      <c r="E2503" s="677"/>
      <c r="F2503" s="677"/>
      <c r="G2503" s="677"/>
      <c r="H2503" s="897"/>
      <c r="I2503" s="898"/>
      <c r="J2503" s="898"/>
      <c r="K2503" s="899"/>
      <c r="L2503" s="899"/>
      <c r="M2503" s="899"/>
      <c r="N2503" s="899"/>
      <c r="O2503" s="899"/>
      <c r="P2503" s="899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96"/>
      <c r="E2504" s="677"/>
      <c r="F2504" s="677"/>
      <c r="G2504" s="677"/>
      <c r="H2504" s="897"/>
      <c r="I2504" s="898"/>
      <c r="J2504" s="898"/>
      <c r="K2504" s="899"/>
      <c r="L2504" s="899"/>
      <c r="M2504" s="899"/>
      <c r="N2504" s="899"/>
      <c r="O2504" s="899"/>
      <c r="P2504" s="899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96"/>
      <c r="E2505" s="677"/>
      <c r="F2505" s="677"/>
      <c r="G2505" s="677"/>
      <c r="H2505" s="897"/>
      <c r="I2505" s="898"/>
      <c r="J2505" s="898"/>
      <c r="K2505" s="899"/>
      <c r="L2505" s="899"/>
      <c r="M2505" s="899"/>
      <c r="N2505" s="899"/>
      <c r="O2505" s="899"/>
      <c r="P2505" s="899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96"/>
      <c r="E2506" s="677"/>
      <c r="F2506" s="677"/>
      <c r="G2506" s="677"/>
      <c r="H2506" s="897"/>
      <c r="I2506" s="898"/>
      <c r="J2506" s="898"/>
      <c r="K2506" s="899"/>
      <c r="L2506" s="899"/>
      <c r="M2506" s="899"/>
      <c r="N2506" s="899"/>
      <c r="O2506" s="899"/>
      <c r="P2506" s="899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96"/>
      <c r="E2507" s="677"/>
      <c r="F2507" s="677"/>
      <c r="G2507" s="677"/>
      <c r="H2507" s="897"/>
      <c r="I2507" s="898"/>
      <c r="J2507" s="898"/>
      <c r="K2507" s="899"/>
      <c r="L2507" s="899"/>
      <c r="M2507" s="899"/>
      <c r="N2507" s="899"/>
      <c r="O2507" s="899"/>
      <c r="P2507" s="899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96"/>
      <c r="E2508" s="677"/>
      <c r="F2508" s="677"/>
      <c r="G2508" s="677"/>
      <c r="H2508" s="897"/>
      <c r="I2508" s="898"/>
      <c r="J2508" s="898"/>
      <c r="K2508" s="899"/>
      <c r="L2508" s="899"/>
      <c r="M2508" s="899"/>
      <c r="N2508" s="899"/>
      <c r="O2508" s="899"/>
      <c r="P2508" s="899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96"/>
      <c r="E2509" s="677"/>
      <c r="F2509" s="677"/>
      <c r="G2509" s="677"/>
      <c r="H2509" s="897"/>
      <c r="I2509" s="898"/>
      <c r="J2509" s="898"/>
      <c r="K2509" s="899"/>
      <c r="L2509" s="899"/>
      <c r="M2509" s="899"/>
      <c r="N2509" s="899"/>
      <c r="O2509" s="899"/>
      <c r="P2509" s="899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96"/>
      <c r="E2510" s="677"/>
      <c r="F2510" s="677"/>
      <c r="G2510" s="677"/>
      <c r="H2510" s="897"/>
      <c r="I2510" s="898"/>
      <c r="J2510" s="898"/>
      <c r="K2510" s="899"/>
      <c r="L2510" s="899"/>
      <c r="M2510" s="899"/>
      <c r="N2510" s="899"/>
      <c r="O2510" s="899"/>
      <c r="P2510" s="899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96"/>
      <c r="E2511" s="677"/>
      <c r="F2511" s="677"/>
      <c r="G2511" s="677"/>
      <c r="H2511" s="897"/>
      <c r="I2511" s="898"/>
      <c r="J2511" s="898"/>
      <c r="K2511" s="899"/>
      <c r="L2511" s="899"/>
      <c r="M2511" s="899"/>
      <c r="N2511" s="899"/>
      <c r="O2511" s="899"/>
      <c r="P2511" s="899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96"/>
      <c r="E2512" s="677"/>
      <c r="F2512" s="677"/>
      <c r="G2512" s="677"/>
      <c r="H2512" s="897"/>
      <c r="I2512" s="898"/>
      <c r="J2512" s="898"/>
      <c r="K2512" s="899"/>
      <c r="L2512" s="899"/>
      <c r="M2512" s="899"/>
      <c r="N2512" s="899"/>
      <c r="O2512" s="899"/>
      <c r="P2512" s="899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96"/>
      <c r="E2513" s="677"/>
      <c r="F2513" s="677"/>
      <c r="G2513" s="677"/>
      <c r="H2513" s="897"/>
      <c r="I2513" s="898"/>
      <c r="J2513" s="898"/>
      <c r="K2513" s="899"/>
      <c r="L2513" s="899"/>
      <c r="M2513" s="899"/>
      <c r="N2513" s="899"/>
      <c r="O2513" s="899"/>
      <c r="P2513" s="899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96"/>
      <c r="E2514" s="677"/>
      <c r="F2514" s="677"/>
      <c r="G2514" s="677"/>
      <c r="H2514" s="897"/>
      <c r="I2514" s="898"/>
      <c r="J2514" s="898"/>
      <c r="K2514" s="899"/>
      <c r="L2514" s="899"/>
      <c r="M2514" s="899"/>
      <c r="N2514" s="899"/>
      <c r="O2514" s="899"/>
      <c r="P2514" s="899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96"/>
      <c r="E2515" s="677"/>
      <c r="F2515" s="677"/>
      <c r="G2515" s="677"/>
      <c r="H2515" s="897"/>
      <c r="I2515" s="898"/>
      <c r="J2515" s="898"/>
      <c r="K2515" s="899"/>
      <c r="L2515" s="899"/>
      <c r="M2515" s="899"/>
      <c r="N2515" s="899"/>
      <c r="O2515" s="899"/>
      <c r="P2515" s="899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96"/>
      <c r="E2516" s="677"/>
      <c r="F2516" s="677"/>
      <c r="G2516" s="677"/>
      <c r="H2516" s="897"/>
      <c r="I2516" s="898"/>
      <c r="J2516" s="898"/>
      <c r="K2516" s="899"/>
      <c r="L2516" s="899"/>
      <c r="M2516" s="899"/>
      <c r="N2516" s="899"/>
      <c r="O2516" s="899"/>
      <c r="P2516" s="899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96"/>
      <c r="E2517" s="677"/>
      <c r="F2517" s="677"/>
      <c r="G2517" s="677"/>
      <c r="H2517" s="897"/>
      <c r="I2517" s="898"/>
      <c r="J2517" s="898"/>
      <c r="K2517" s="899"/>
      <c r="L2517" s="899"/>
      <c r="M2517" s="899"/>
      <c r="N2517" s="899"/>
      <c r="O2517" s="899"/>
      <c r="P2517" s="899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96"/>
      <c r="E2518" s="677"/>
      <c r="F2518" s="677"/>
      <c r="G2518" s="677"/>
      <c r="H2518" s="897"/>
      <c r="I2518" s="898"/>
      <c r="J2518" s="898"/>
      <c r="K2518" s="899"/>
      <c r="L2518" s="899"/>
      <c r="M2518" s="899"/>
      <c r="N2518" s="899"/>
      <c r="O2518" s="899"/>
      <c r="P2518" s="899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96"/>
      <c r="E2519" s="677"/>
      <c r="F2519" s="677"/>
      <c r="G2519" s="677"/>
      <c r="H2519" s="897"/>
      <c r="I2519" s="898"/>
      <c r="J2519" s="898"/>
      <c r="K2519" s="899"/>
      <c r="L2519" s="899"/>
      <c r="M2519" s="899"/>
      <c r="N2519" s="899"/>
      <c r="O2519" s="899"/>
      <c r="P2519" s="899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96"/>
      <c r="E2520" s="677"/>
      <c r="F2520" s="677"/>
      <c r="G2520" s="677"/>
      <c r="H2520" s="897"/>
      <c r="I2520" s="898"/>
      <c r="J2520" s="898"/>
      <c r="K2520" s="899"/>
      <c r="L2520" s="899"/>
      <c r="M2520" s="899"/>
      <c r="N2520" s="899"/>
      <c r="O2520" s="899"/>
      <c r="P2520" s="899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96"/>
      <c r="E2521" s="677"/>
      <c r="F2521" s="677"/>
      <c r="G2521" s="677"/>
      <c r="H2521" s="897"/>
      <c r="I2521" s="898"/>
      <c r="J2521" s="898"/>
      <c r="K2521" s="899"/>
      <c r="L2521" s="899"/>
      <c r="M2521" s="899"/>
      <c r="N2521" s="899"/>
      <c r="O2521" s="899"/>
      <c r="P2521" s="899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96"/>
      <c r="E2522" s="677"/>
      <c r="F2522" s="677"/>
      <c r="G2522" s="677"/>
      <c r="H2522" s="897"/>
      <c r="I2522" s="898"/>
      <c r="J2522" s="898"/>
      <c r="K2522" s="899"/>
      <c r="L2522" s="899"/>
      <c r="M2522" s="899"/>
      <c r="N2522" s="899"/>
      <c r="O2522" s="899"/>
      <c r="P2522" s="899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96"/>
      <c r="E2523" s="677"/>
      <c r="F2523" s="677"/>
      <c r="G2523" s="677"/>
      <c r="H2523" s="897"/>
      <c r="I2523" s="898"/>
      <c r="J2523" s="898"/>
      <c r="K2523" s="899"/>
      <c r="L2523" s="899"/>
      <c r="M2523" s="899"/>
      <c r="N2523" s="899"/>
      <c r="O2523" s="899"/>
      <c r="P2523" s="899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96"/>
      <c r="E2524" s="677"/>
      <c r="F2524" s="677"/>
      <c r="G2524" s="677"/>
      <c r="H2524" s="897"/>
      <c r="I2524" s="898"/>
      <c r="J2524" s="898"/>
      <c r="K2524" s="899"/>
      <c r="L2524" s="899"/>
      <c r="M2524" s="899"/>
      <c r="N2524" s="899"/>
      <c r="O2524" s="899"/>
      <c r="P2524" s="899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96"/>
      <c r="E2525" s="677"/>
      <c r="F2525" s="677"/>
      <c r="G2525" s="677"/>
      <c r="H2525" s="897"/>
      <c r="I2525" s="898"/>
      <c r="J2525" s="898"/>
      <c r="K2525" s="899"/>
      <c r="L2525" s="899"/>
      <c r="M2525" s="899"/>
      <c r="N2525" s="899"/>
      <c r="O2525" s="899"/>
      <c r="P2525" s="899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96"/>
      <c r="E2526" s="677"/>
      <c r="F2526" s="677"/>
      <c r="G2526" s="677"/>
      <c r="H2526" s="897"/>
      <c r="I2526" s="898"/>
      <c r="J2526" s="898"/>
      <c r="K2526" s="899"/>
      <c r="L2526" s="899"/>
      <c r="M2526" s="899"/>
      <c r="N2526" s="899"/>
      <c r="O2526" s="899"/>
      <c r="P2526" s="899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96"/>
      <c r="E2527" s="677"/>
      <c r="F2527" s="677"/>
      <c r="G2527" s="677"/>
      <c r="H2527" s="897"/>
      <c r="I2527" s="898"/>
      <c r="J2527" s="898"/>
      <c r="K2527" s="899"/>
      <c r="L2527" s="899"/>
      <c r="M2527" s="899"/>
      <c r="N2527" s="899"/>
      <c r="O2527" s="899"/>
      <c r="P2527" s="899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96"/>
      <c r="E2528" s="677"/>
      <c r="F2528" s="677"/>
      <c r="G2528" s="677"/>
      <c r="H2528" s="897"/>
      <c r="I2528" s="898"/>
      <c r="J2528" s="898"/>
      <c r="K2528" s="899"/>
      <c r="L2528" s="899"/>
      <c r="M2528" s="899"/>
      <c r="N2528" s="899"/>
      <c r="O2528" s="899"/>
      <c r="P2528" s="899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96"/>
      <c r="E2529" s="677"/>
      <c r="F2529" s="677"/>
      <c r="G2529" s="677"/>
      <c r="H2529" s="897"/>
      <c r="I2529" s="898"/>
      <c r="J2529" s="898"/>
      <c r="K2529" s="899"/>
      <c r="L2529" s="899"/>
      <c r="M2529" s="899"/>
      <c r="N2529" s="899"/>
      <c r="O2529" s="899"/>
      <c r="P2529" s="899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96"/>
      <c r="E2530" s="677"/>
      <c r="F2530" s="677"/>
      <c r="G2530" s="677"/>
      <c r="H2530" s="897"/>
      <c r="I2530" s="898"/>
      <c r="J2530" s="898"/>
      <c r="K2530" s="899"/>
      <c r="L2530" s="899"/>
      <c r="M2530" s="899"/>
      <c r="N2530" s="899"/>
      <c r="O2530" s="899"/>
      <c r="P2530" s="899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96"/>
      <c r="E2531" s="677"/>
      <c r="F2531" s="677"/>
      <c r="G2531" s="677"/>
      <c r="H2531" s="897"/>
      <c r="I2531" s="898"/>
      <c r="J2531" s="898"/>
      <c r="K2531" s="899"/>
      <c r="L2531" s="899"/>
      <c r="M2531" s="899"/>
      <c r="N2531" s="899"/>
      <c r="O2531" s="899"/>
      <c r="P2531" s="899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96"/>
      <c r="E2532" s="677"/>
      <c r="F2532" s="677"/>
      <c r="G2532" s="677"/>
      <c r="H2532" s="897"/>
      <c r="I2532" s="898"/>
      <c r="J2532" s="898"/>
      <c r="K2532" s="899"/>
      <c r="L2532" s="899"/>
      <c r="M2532" s="899"/>
      <c r="N2532" s="899"/>
      <c r="O2532" s="899"/>
      <c r="P2532" s="899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96"/>
      <c r="E2533" s="677"/>
      <c r="F2533" s="677"/>
      <c r="G2533" s="677"/>
      <c r="H2533" s="897"/>
      <c r="I2533" s="898"/>
      <c r="J2533" s="898"/>
      <c r="K2533" s="899"/>
      <c r="L2533" s="899"/>
      <c r="M2533" s="899"/>
      <c r="N2533" s="899"/>
      <c r="O2533" s="899"/>
      <c r="P2533" s="899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96"/>
      <c r="E2534" s="677"/>
      <c r="F2534" s="677"/>
      <c r="G2534" s="677"/>
      <c r="H2534" s="897"/>
      <c r="I2534" s="898"/>
      <c r="J2534" s="898"/>
      <c r="K2534" s="899"/>
      <c r="L2534" s="899"/>
      <c r="M2534" s="899"/>
      <c r="N2534" s="899"/>
      <c r="O2534" s="899"/>
      <c r="P2534" s="899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96"/>
      <c r="E2535" s="677"/>
      <c r="F2535" s="677"/>
      <c r="G2535" s="677"/>
      <c r="H2535" s="897"/>
      <c r="I2535" s="898"/>
      <c r="J2535" s="898"/>
      <c r="K2535" s="899"/>
      <c r="L2535" s="899"/>
      <c r="M2535" s="899"/>
      <c r="N2535" s="899"/>
      <c r="O2535" s="899"/>
      <c r="P2535" s="899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96"/>
      <c r="E2536" s="677"/>
      <c r="F2536" s="677"/>
      <c r="G2536" s="677"/>
      <c r="H2536" s="897"/>
      <c r="I2536" s="898"/>
      <c r="J2536" s="898"/>
      <c r="K2536" s="899"/>
      <c r="L2536" s="899"/>
      <c r="M2536" s="899"/>
      <c r="N2536" s="899"/>
      <c r="O2536" s="899"/>
      <c r="P2536" s="899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96"/>
      <c r="E2537" s="677"/>
      <c r="F2537" s="677"/>
      <c r="G2537" s="677"/>
      <c r="H2537" s="897"/>
      <c r="I2537" s="898"/>
      <c r="J2537" s="898"/>
      <c r="K2537" s="899"/>
      <c r="L2537" s="899"/>
      <c r="M2537" s="899"/>
      <c r="N2537" s="899"/>
      <c r="O2537" s="899"/>
      <c r="P2537" s="899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96"/>
      <c r="E2538" s="677"/>
      <c r="F2538" s="677"/>
      <c r="G2538" s="677"/>
      <c r="H2538" s="897"/>
      <c r="I2538" s="898"/>
      <c r="J2538" s="898"/>
      <c r="K2538" s="899"/>
      <c r="L2538" s="899"/>
      <c r="M2538" s="899"/>
      <c r="N2538" s="899"/>
      <c r="O2538" s="899"/>
      <c r="P2538" s="899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96"/>
      <c r="E2539" s="677"/>
      <c r="F2539" s="677"/>
      <c r="G2539" s="677"/>
      <c r="H2539" s="897"/>
      <c r="I2539" s="898"/>
      <c r="J2539" s="898"/>
      <c r="K2539" s="899"/>
      <c r="L2539" s="899"/>
      <c r="M2539" s="899"/>
      <c r="N2539" s="899"/>
      <c r="O2539" s="899"/>
      <c r="P2539" s="899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96"/>
      <c r="E2540" s="677"/>
      <c r="F2540" s="677"/>
      <c r="G2540" s="677"/>
      <c r="H2540" s="897"/>
      <c r="I2540" s="898"/>
      <c r="J2540" s="898"/>
      <c r="K2540" s="899"/>
      <c r="L2540" s="899"/>
      <c r="M2540" s="899"/>
      <c r="N2540" s="899"/>
      <c r="O2540" s="899"/>
      <c r="P2540" s="899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96"/>
      <c r="E2541" s="677"/>
      <c r="F2541" s="677"/>
      <c r="G2541" s="677"/>
      <c r="H2541" s="897"/>
      <c r="I2541" s="898"/>
      <c r="J2541" s="898"/>
      <c r="K2541" s="899"/>
      <c r="L2541" s="899"/>
      <c r="M2541" s="899"/>
      <c r="N2541" s="899"/>
      <c r="O2541" s="899"/>
      <c r="P2541" s="899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96"/>
      <c r="E2542" s="677"/>
      <c r="F2542" s="677"/>
      <c r="G2542" s="677"/>
      <c r="H2542" s="897"/>
      <c r="I2542" s="898"/>
      <c r="J2542" s="898"/>
      <c r="K2542" s="899"/>
      <c r="L2542" s="899"/>
      <c r="M2542" s="899"/>
      <c r="N2542" s="899"/>
      <c r="O2542" s="899"/>
      <c r="P2542" s="899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96"/>
      <c r="E2543" s="677"/>
      <c r="F2543" s="677"/>
      <c r="G2543" s="677"/>
      <c r="H2543" s="897"/>
      <c r="I2543" s="898"/>
      <c r="J2543" s="898"/>
      <c r="K2543" s="899"/>
      <c r="L2543" s="899"/>
      <c r="M2543" s="899"/>
      <c r="N2543" s="899"/>
      <c r="O2543" s="899"/>
      <c r="P2543" s="899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96"/>
      <c r="E2544" s="677"/>
      <c r="F2544" s="677"/>
      <c r="G2544" s="677"/>
      <c r="H2544" s="897"/>
      <c r="I2544" s="898"/>
      <c r="J2544" s="898"/>
      <c r="K2544" s="899"/>
      <c r="L2544" s="899"/>
      <c r="M2544" s="899"/>
      <c r="N2544" s="899"/>
      <c r="O2544" s="899"/>
      <c r="P2544" s="899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96"/>
      <c r="E2545" s="677"/>
      <c r="F2545" s="677"/>
      <c r="G2545" s="677"/>
      <c r="H2545" s="897"/>
      <c r="I2545" s="898"/>
      <c r="J2545" s="898"/>
      <c r="K2545" s="899"/>
      <c r="L2545" s="899"/>
      <c r="M2545" s="899"/>
      <c r="N2545" s="899"/>
      <c r="O2545" s="899"/>
      <c r="P2545" s="899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96"/>
      <c r="E2546" s="677"/>
      <c r="F2546" s="677"/>
      <c r="G2546" s="677"/>
      <c r="H2546" s="897"/>
      <c r="I2546" s="898"/>
      <c r="J2546" s="898"/>
      <c r="K2546" s="899"/>
      <c r="L2546" s="899"/>
      <c r="M2546" s="899"/>
      <c r="N2546" s="899"/>
      <c r="O2546" s="899"/>
      <c r="P2546" s="899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96"/>
      <c r="E2547" s="677"/>
      <c r="F2547" s="677"/>
      <c r="G2547" s="677"/>
      <c r="H2547" s="897"/>
      <c r="I2547" s="898"/>
      <c r="J2547" s="898"/>
      <c r="K2547" s="899"/>
      <c r="L2547" s="899"/>
      <c r="M2547" s="899"/>
      <c r="N2547" s="899"/>
      <c r="O2547" s="899"/>
      <c r="P2547" s="899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96"/>
      <c r="E2548" s="677"/>
      <c r="F2548" s="677"/>
      <c r="G2548" s="677"/>
      <c r="H2548" s="897"/>
      <c r="I2548" s="898"/>
      <c r="J2548" s="898"/>
      <c r="K2548" s="899"/>
      <c r="L2548" s="899"/>
      <c r="M2548" s="899"/>
      <c r="N2548" s="899"/>
      <c r="O2548" s="899"/>
      <c r="P2548" s="899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96"/>
      <c r="E2549" s="677"/>
      <c r="F2549" s="677"/>
      <c r="G2549" s="677"/>
      <c r="H2549" s="897"/>
      <c r="I2549" s="898"/>
      <c r="J2549" s="898"/>
      <c r="K2549" s="899"/>
      <c r="L2549" s="899"/>
      <c r="M2549" s="899"/>
      <c r="N2549" s="899"/>
      <c r="O2549" s="899"/>
      <c r="P2549" s="899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96"/>
      <c r="E2550" s="677"/>
      <c r="F2550" s="677"/>
      <c r="G2550" s="677"/>
      <c r="H2550" s="897"/>
      <c r="I2550" s="898"/>
      <c r="J2550" s="898"/>
      <c r="K2550" s="899"/>
      <c r="L2550" s="899"/>
      <c r="M2550" s="899"/>
      <c r="N2550" s="899"/>
      <c r="O2550" s="899"/>
      <c r="P2550" s="899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96"/>
      <c r="E2551" s="677"/>
      <c r="F2551" s="677"/>
      <c r="G2551" s="677"/>
      <c r="H2551" s="897"/>
      <c r="I2551" s="898"/>
      <c r="J2551" s="898"/>
      <c r="K2551" s="899"/>
      <c r="L2551" s="899"/>
      <c r="M2551" s="899"/>
      <c r="N2551" s="899"/>
      <c r="O2551" s="899"/>
      <c r="P2551" s="899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96"/>
      <c r="E2552" s="677"/>
      <c r="F2552" s="677"/>
      <c r="G2552" s="677"/>
      <c r="H2552" s="897"/>
      <c r="I2552" s="898"/>
      <c r="J2552" s="898"/>
      <c r="K2552" s="899"/>
      <c r="L2552" s="899"/>
      <c r="M2552" s="899"/>
      <c r="N2552" s="899"/>
      <c r="O2552" s="899"/>
      <c r="P2552" s="899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96"/>
      <c r="E2553" s="677"/>
      <c r="F2553" s="677"/>
      <c r="G2553" s="677"/>
      <c r="H2553" s="897"/>
      <c r="I2553" s="898"/>
      <c r="J2553" s="898"/>
      <c r="K2553" s="899"/>
      <c r="L2553" s="899"/>
      <c r="M2553" s="899"/>
      <c r="N2553" s="899"/>
      <c r="O2553" s="899"/>
      <c r="P2553" s="899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96"/>
      <c r="E2554" s="677"/>
      <c r="F2554" s="677"/>
      <c r="G2554" s="677"/>
      <c r="H2554" s="897"/>
      <c r="I2554" s="898"/>
      <c r="J2554" s="898"/>
      <c r="K2554" s="899"/>
      <c r="L2554" s="899"/>
      <c r="M2554" s="899"/>
      <c r="N2554" s="899"/>
      <c r="O2554" s="899"/>
      <c r="P2554" s="899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96"/>
      <c r="E2555" s="677"/>
      <c r="F2555" s="677"/>
      <c r="G2555" s="677"/>
      <c r="H2555" s="897"/>
      <c r="I2555" s="898"/>
      <c r="J2555" s="898"/>
      <c r="K2555" s="899"/>
      <c r="L2555" s="899"/>
      <c r="M2555" s="899"/>
      <c r="N2555" s="899"/>
      <c r="O2555" s="899"/>
      <c r="P2555" s="899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96"/>
      <c r="E2556" s="677"/>
      <c r="F2556" s="677"/>
      <c r="G2556" s="677"/>
      <c r="H2556" s="897"/>
      <c r="I2556" s="898"/>
      <c r="J2556" s="898"/>
      <c r="K2556" s="899"/>
      <c r="L2556" s="899"/>
      <c r="M2556" s="899"/>
      <c r="N2556" s="899"/>
      <c r="O2556" s="899"/>
      <c r="P2556" s="899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96"/>
      <c r="E2557" s="677"/>
      <c r="F2557" s="677"/>
      <c r="G2557" s="677"/>
      <c r="H2557" s="897"/>
      <c r="I2557" s="898"/>
      <c r="J2557" s="898"/>
      <c r="K2557" s="899"/>
      <c r="L2557" s="899"/>
      <c r="M2557" s="899"/>
      <c r="N2557" s="899"/>
      <c r="O2557" s="899"/>
      <c r="P2557" s="899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96"/>
      <c r="E2558" s="677"/>
      <c r="F2558" s="677"/>
      <c r="G2558" s="677"/>
      <c r="H2558" s="897"/>
      <c r="I2558" s="898"/>
      <c r="J2558" s="898"/>
      <c r="K2558" s="899"/>
      <c r="L2558" s="899"/>
      <c r="M2558" s="899"/>
      <c r="N2558" s="899"/>
      <c r="O2558" s="899"/>
      <c r="P2558" s="899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96"/>
      <c r="E2559" s="677"/>
      <c r="F2559" s="677"/>
      <c r="G2559" s="677"/>
      <c r="H2559" s="897"/>
      <c r="I2559" s="898"/>
      <c r="J2559" s="898"/>
      <c r="K2559" s="899"/>
      <c r="L2559" s="899"/>
      <c r="M2559" s="899"/>
      <c r="N2559" s="899"/>
      <c r="O2559" s="899"/>
      <c r="P2559" s="899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96"/>
      <c r="E2560" s="677"/>
      <c r="F2560" s="677"/>
      <c r="G2560" s="677"/>
      <c r="H2560" s="897"/>
      <c r="I2560" s="898"/>
      <c r="J2560" s="898"/>
      <c r="K2560" s="899"/>
      <c r="L2560" s="899"/>
      <c r="M2560" s="899"/>
      <c r="N2560" s="899"/>
      <c r="O2560" s="899"/>
      <c r="P2560" s="899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96"/>
      <c r="E2561" s="677"/>
      <c r="F2561" s="677"/>
      <c r="G2561" s="677"/>
      <c r="H2561" s="897"/>
      <c r="I2561" s="898"/>
      <c r="J2561" s="898"/>
      <c r="K2561" s="899"/>
      <c r="L2561" s="899"/>
      <c r="M2561" s="899"/>
      <c r="N2561" s="899"/>
      <c r="O2561" s="899"/>
      <c r="P2561" s="899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96"/>
      <c r="E2562" s="677"/>
      <c r="F2562" s="677"/>
      <c r="G2562" s="677"/>
      <c r="H2562" s="897"/>
      <c r="I2562" s="898"/>
      <c r="J2562" s="898"/>
      <c r="K2562" s="899"/>
      <c r="L2562" s="899"/>
      <c r="M2562" s="899"/>
      <c r="N2562" s="899"/>
      <c r="O2562" s="899"/>
      <c r="P2562" s="899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96"/>
      <c r="E2563" s="677"/>
      <c r="F2563" s="677"/>
      <c r="G2563" s="677"/>
      <c r="H2563" s="897"/>
      <c r="I2563" s="898"/>
      <c r="J2563" s="898"/>
      <c r="K2563" s="899"/>
      <c r="L2563" s="899"/>
      <c r="M2563" s="899"/>
      <c r="N2563" s="899"/>
      <c r="O2563" s="899"/>
      <c r="P2563" s="899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96"/>
      <c r="E2564" s="677"/>
      <c r="F2564" s="677"/>
      <c r="G2564" s="677"/>
      <c r="H2564" s="897"/>
      <c r="I2564" s="898"/>
      <c r="J2564" s="898"/>
      <c r="K2564" s="899"/>
      <c r="L2564" s="899"/>
      <c r="M2564" s="899"/>
      <c r="N2564" s="899"/>
      <c r="O2564" s="899"/>
      <c r="P2564" s="899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96"/>
      <c r="E2565" s="677"/>
      <c r="F2565" s="677"/>
      <c r="G2565" s="677"/>
      <c r="H2565" s="897"/>
      <c r="I2565" s="898"/>
      <c r="J2565" s="898"/>
      <c r="K2565" s="899"/>
      <c r="L2565" s="899"/>
      <c r="M2565" s="899"/>
      <c r="N2565" s="899"/>
      <c r="O2565" s="899"/>
      <c r="P2565" s="899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96"/>
      <c r="E2566" s="677"/>
      <c r="F2566" s="677"/>
      <c r="G2566" s="677"/>
      <c r="H2566" s="897"/>
      <c r="I2566" s="898"/>
      <c r="J2566" s="898"/>
      <c r="K2566" s="899"/>
      <c r="L2566" s="899"/>
      <c r="M2566" s="899"/>
      <c r="N2566" s="899"/>
      <c r="O2566" s="899"/>
      <c r="P2566" s="899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96"/>
      <c r="E2567" s="677"/>
      <c r="F2567" s="677"/>
      <c r="G2567" s="677"/>
      <c r="H2567" s="897"/>
      <c r="I2567" s="898"/>
      <c r="J2567" s="898"/>
      <c r="K2567" s="899"/>
      <c r="L2567" s="899"/>
      <c r="M2567" s="899"/>
      <c r="N2567" s="899"/>
      <c r="O2567" s="899"/>
      <c r="P2567" s="899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96"/>
      <c r="E2568" s="677"/>
      <c r="F2568" s="677"/>
      <c r="G2568" s="677"/>
      <c r="H2568" s="897"/>
      <c r="I2568" s="898"/>
      <c r="J2568" s="898"/>
      <c r="K2568" s="899"/>
      <c r="L2568" s="899"/>
      <c r="M2568" s="899"/>
      <c r="N2568" s="899"/>
      <c r="O2568" s="899"/>
      <c r="P2568" s="899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96"/>
      <c r="E2569" s="677"/>
      <c r="F2569" s="677"/>
      <c r="G2569" s="677"/>
      <c r="H2569" s="897"/>
      <c r="I2569" s="898"/>
      <c r="J2569" s="898"/>
      <c r="K2569" s="899"/>
      <c r="L2569" s="899"/>
      <c r="M2569" s="899"/>
      <c r="N2569" s="899"/>
      <c r="O2569" s="899"/>
      <c r="P2569" s="899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96"/>
      <c r="E2570" s="677"/>
      <c r="F2570" s="677"/>
      <c r="G2570" s="677"/>
      <c r="H2570" s="897"/>
      <c r="I2570" s="898"/>
      <c r="J2570" s="898"/>
      <c r="K2570" s="899"/>
      <c r="L2570" s="899"/>
      <c r="M2570" s="899"/>
      <c r="N2570" s="899"/>
      <c r="O2570" s="899"/>
      <c r="P2570" s="899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96"/>
      <c r="E2571" s="677"/>
      <c r="F2571" s="677"/>
      <c r="G2571" s="677"/>
      <c r="H2571" s="897"/>
      <c r="I2571" s="898"/>
      <c r="J2571" s="898"/>
      <c r="K2571" s="899"/>
      <c r="L2571" s="899"/>
      <c r="M2571" s="899"/>
      <c r="N2571" s="899"/>
      <c r="O2571" s="899"/>
      <c r="P2571" s="899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96"/>
      <c r="E2572" s="677"/>
      <c r="F2572" s="677"/>
      <c r="G2572" s="677"/>
      <c r="H2572" s="897"/>
      <c r="I2572" s="898"/>
      <c r="J2572" s="898"/>
      <c r="K2572" s="899"/>
      <c r="L2572" s="899"/>
      <c r="M2572" s="899"/>
      <c r="N2572" s="899"/>
      <c r="O2572" s="899"/>
      <c r="P2572" s="899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96"/>
      <c r="E2573" s="677"/>
      <c r="F2573" s="677"/>
      <c r="G2573" s="677"/>
      <c r="H2573" s="897"/>
      <c r="I2573" s="898"/>
      <c r="J2573" s="898"/>
      <c r="K2573" s="899"/>
      <c r="L2573" s="899"/>
      <c r="M2573" s="899"/>
      <c r="N2573" s="899"/>
      <c r="O2573" s="899"/>
      <c r="P2573" s="899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96"/>
      <c r="E2574" s="677"/>
      <c r="F2574" s="677"/>
      <c r="G2574" s="677"/>
      <c r="H2574" s="897"/>
      <c r="I2574" s="898"/>
      <c r="J2574" s="898"/>
      <c r="K2574" s="899"/>
      <c r="L2574" s="899"/>
      <c r="M2574" s="899"/>
      <c r="N2574" s="899"/>
      <c r="O2574" s="899"/>
      <c r="P2574" s="899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96"/>
      <c r="E2575" s="677"/>
      <c r="F2575" s="677"/>
      <c r="G2575" s="677"/>
      <c r="H2575" s="897"/>
      <c r="I2575" s="898"/>
      <c r="J2575" s="898"/>
      <c r="K2575" s="899"/>
      <c r="L2575" s="899"/>
      <c r="M2575" s="899"/>
      <c r="N2575" s="899"/>
      <c r="O2575" s="899"/>
      <c r="P2575" s="899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96"/>
      <c r="E2576" s="677"/>
      <c r="F2576" s="677"/>
      <c r="G2576" s="677"/>
      <c r="H2576" s="897"/>
      <c r="I2576" s="898"/>
      <c r="J2576" s="898"/>
      <c r="K2576" s="899"/>
      <c r="L2576" s="899"/>
      <c r="M2576" s="899"/>
      <c r="N2576" s="899"/>
      <c r="O2576" s="899"/>
      <c r="P2576" s="899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96"/>
      <c r="E2577" s="677"/>
      <c r="F2577" s="677"/>
      <c r="G2577" s="677"/>
      <c r="H2577" s="897"/>
      <c r="I2577" s="898"/>
      <c r="J2577" s="898"/>
      <c r="K2577" s="899"/>
      <c r="L2577" s="899"/>
      <c r="M2577" s="899"/>
      <c r="N2577" s="899"/>
      <c r="O2577" s="899"/>
      <c r="P2577" s="899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96"/>
      <c r="E2578" s="677"/>
      <c r="F2578" s="677"/>
      <c r="G2578" s="677"/>
      <c r="H2578" s="897"/>
      <c r="I2578" s="898"/>
      <c r="J2578" s="898"/>
      <c r="K2578" s="899"/>
      <c r="L2578" s="899"/>
      <c r="M2578" s="899"/>
      <c r="N2578" s="899"/>
      <c r="O2578" s="899"/>
      <c r="P2578" s="899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96"/>
      <c r="E2579" s="677"/>
      <c r="F2579" s="677"/>
      <c r="G2579" s="677"/>
      <c r="H2579" s="897"/>
      <c r="I2579" s="898"/>
      <c r="J2579" s="898"/>
      <c r="K2579" s="899"/>
      <c r="L2579" s="899"/>
      <c r="M2579" s="899"/>
      <c r="N2579" s="899"/>
      <c r="O2579" s="899"/>
      <c r="P2579" s="899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96"/>
      <c r="E2580" s="677"/>
      <c r="F2580" s="677"/>
      <c r="G2580" s="677"/>
      <c r="H2580" s="897"/>
      <c r="I2580" s="898"/>
      <c r="J2580" s="898"/>
      <c r="K2580" s="899"/>
      <c r="L2580" s="899"/>
      <c r="M2580" s="899"/>
      <c r="N2580" s="899"/>
      <c r="O2580" s="899"/>
      <c r="P2580" s="899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96"/>
      <c r="E2581" s="677"/>
      <c r="F2581" s="677"/>
      <c r="G2581" s="677"/>
      <c r="H2581" s="897"/>
      <c r="I2581" s="898"/>
      <c r="J2581" s="898"/>
      <c r="K2581" s="899"/>
      <c r="L2581" s="899"/>
      <c r="M2581" s="899"/>
      <c r="N2581" s="899"/>
      <c r="O2581" s="899"/>
      <c r="P2581" s="899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96"/>
      <c r="E2582" s="677"/>
      <c r="F2582" s="677"/>
      <c r="G2582" s="677"/>
      <c r="H2582" s="897"/>
      <c r="I2582" s="898"/>
      <c r="J2582" s="898"/>
      <c r="K2582" s="899"/>
      <c r="L2582" s="899"/>
      <c r="M2582" s="899"/>
      <c r="N2582" s="899"/>
      <c r="O2582" s="899"/>
      <c r="P2582" s="899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96"/>
      <c r="E2583" s="677"/>
      <c r="F2583" s="677"/>
      <c r="G2583" s="677"/>
      <c r="H2583" s="897"/>
      <c r="I2583" s="898"/>
      <c r="J2583" s="898"/>
      <c r="K2583" s="899"/>
      <c r="L2583" s="899"/>
      <c r="M2583" s="899"/>
      <c r="N2583" s="899"/>
      <c r="O2583" s="899"/>
      <c r="P2583" s="899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96"/>
      <c r="E2584" s="677"/>
      <c r="F2584" s="677"/>
      <c r="G2584" s="677"/>
      <c r="H2584" s="897"/>
      <c r="I2584" s="898"/>
      <c r="J2584" s="898"/>
      <c r="K2584" s="899"/>
      <c r="L2584" s="899"/>
      <c r="M2584" s="899"/>
      <c r="N2584" s="899"/>
      <c r="O2584" s="899"/>
      <c r="P2584" s="899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96"/>
      <c r="E2585" s="677"/>
      <c r="F2585" s="677"/>
      <c r="G2585" s="677"/>
      <c r="H2585" s="897"/>
      <c r="I2585" s="898"/>
      <c r="J2585" s="898"/>
      <c r="K2585" s="899"/>
      <c r="L2585" s="899"/>
      <c r="M2585" s="899"/>
      <c r="N2585" s="899"/>
      <c r="O2585" s="899"/>
      <c r="P2585" s="899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96"/>
      <c r="E2586" s="677"/>
      <c r="F2586" s="677"/>
      <c r="G2586" s="677"/>
      <c r="H2586" s="897"/>
      <c r="I2586" s="898"/>
      <c r="J2586" s="898"/>
      <c r="K2586" s="899"/>
      <c r="L2586" s="899"/>
      <c r="M2586" s="899"/>
      <c r="N2586" s="899"/>
      <c r="O2586" s="899"/>
      <c r="P2586" s="899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96"/>
      <c r="E2587" s="677"/>
      <c r="F2587" s="677"/>
      <c r="G2587" s="677"/>
      <c r="H2587" s="897"/>
      <c r="I2587" s="898"/>
      <c r="J2587" s="898"/>
      <c r="K2587" s="899"/>
      <c r="L2587" s="899"/>
      <c r="M2587" s="899"/>
      <c r="N2587" s="899"/>
      <c r="O2587" s="899"/>
      <c r="P2587" s="899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96"/>
      <c r="E2588" s="677"/>
      <c r="F2588" s="677"/>
      <c r="G2588" s="677"/>
      <c r="H2588" s="897"/>
      <c r="I2588" s="898"/>
      <c r="J2588" s="898"/>
      <c r="K2588" s="899"/>
      <c r="L2588" s="899"/>
      <c r="M2588" s="899"/>
      <c r="N2588" s="899"/>
      <c r="O2588" s="899"/>
      <c r="P2588" s="899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96"/>
      <c r="E2589" s="677"/>
      <c r="F2589" s="677"/>
      <c r="G2589" s="677"/>
      <c r="H2589" s="897"/>
      <c r="I2589" s="898"/>
      <c r="J2589" s="898"/>
      <c r="K2589" s="899"/>
      <c r="L2589" s="899"/>
      <c r="M2589" s="899"/>
      <c r="N2589" s="899"/>
      <c r="O2589" s="899"/>
      <c r="P2589" s="899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96"/>
      <c r="E2590" s="677"/>
      <c r="F2590" s="677"/>
      <c r="G2590" s="677"/>
      <c r="H2590" s="897"/>
      <c r="I2590" s="898"/>
      <c r="J2590" s="898"/>
      <c r="K2590" s="899"/>
      <c r="L2590" s="899"/>
      <c r="M2590" s="899"/>
      <c r="N2590" s="899"/>
      <c r="O2590" s="899"/>
      <c r="P2590" s="899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96"/>
      <c r="E2591" s="677"/>
      <c r="F2591" s="677"/>
      <c r="G2591" s="677"/>
      <c r="H2591" s="897"/>
      <c r="I2591" s="898"/>
      <c r="J2591" s="898"/>
      <c r="K2591" s="899"/>
      <c r="L2591" s="899"/>
      <c r="M2591" s="899"/>
      <c r="N2591" s="899"/>
      <c r="O2591" s="899"/>
      <c r="P2591" s="899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96"/>
      <c r="E2592" s="677"/>
      <c r="F2592" s="677"/>
      <c r="G2592" s="677"/>
      <c r="H2592" s="897"/>
      <c r="I2592" s="898"/>
      <c r="J2592" s="898"/>
      <c r="K2592" s="899"/>
      <c r="L2592" s="899"/>
      <c r="M2592" s="899"/>
      <c r="N2592" s="899"/>
      <c r="O2592" s="899"/>
      <c r="P2592" s="899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96"/>
      <c r="E2593" s="677"/>
      <c r="F2593" s="677"/>
      <c r="G2593" s="677"/>
      <c r="H2593" s="897"/>
      <c r="I2593" s="898"/>
      <c r="J2593" s="898"/>
      <c r="K2593" s="899"/>
      <c r="L2593" s="899"/>
      <c r="M2593" s="899"/>
      <c r="N2593" s="899"/>
      <c r="O2593" s="899"/>
      <c r="P2593" s="899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96"/>
      <c r="E2594" s="677"/>
      <c r="F2594" s="677"/>
      <c r="G2594" s="677"/>
      <c r="H2594" s="897"/>
      <c r="I2594" s="898"/>
      <c r="J2594" s="898"/>
      <c r="K2594" s="899"/>
      <c r="L2594" s="899"/>
      <c r="M2594" s="899"/>
      <c r="N2594" s="899"/>
      <c r="O2594" s="899"/>
      <c r="P2594" s="899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96"/>
      <c r="E2595" s="677"/>
      <c r="F2595" s="677"/>
      <c r="G2595" s="677"/>
      <c r="H2595" s="897"/>
      <c r="I2595" s="898"/>
      <c r="J2595" s="898"/>
      <c r="K2595" s="899"/>
      <c r="L2595" s="899"/>
      <c r="M2595" s="899"/>
      <c r="N2595" s="899"/>
      <c r="O2595" s="899"/>
      <c r="P2595" s="899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96"/>
      <c r="E2596" s="677"/>
      <c r="F2596" s="677"/>
      <c r="G2596" s="677"/>
      <c r="H2596" s="897"/>
      <c r="I2596" s="898"/>
      <c r="J2596" s="898"/>
      <c r="K2596" s="899"/>
      <c r="L2596" s="899"/>
      <c r="M2596" s="899"/>
      <c r="N2596" s="899"/>
      <c r="O2596" s="899"/>
      <c r="P2596" s="899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96"/>
      <c r="E2597" s="677"/>
      <c r="F2597" s="677"/>
      <c r="G2597" s="677"/>
      <c r="H2597" s="897"/>
      <c r="I2597" s="898"/>
      <c r="J2597" s="898"/>
      <c r="K2597" s="899"/>
      <c r="L2597" s="899"/>
      <c r="M2597" s="899"/>
      <c r="N2597" s="899"/>
      <c r="O2597" s="899"/>
      <c r="P2597" s="899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96"/>
      <c r="E2598" s="677"/>
      <c r="F2598" s="677"/>
      <c r="G2598" s="677"/>
      <c r="H2598" s="897"/>
      <c r="I2598" s="898"/>
      <c r="J2598" s="898"/>
      <c r="K2598" s="899"/>
      <c r="L2598" s="899"/>
      <c r="M2598" s="899"/>
      <c r="N2598" s="899"/>
      <c r="O2598" s="899"/>
      <c r="P2598" s="899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96"/>
      <c r="E2599" s="677"/>
      <c r="F2599" s="677"/>
      <c r="G2599" s="677"/>
      <c r="H2599" s="897"/>
      <c r="I2599" s="898"/>
      <c r="J2599" s="898"/>
      <c r="K2599" s="899"/>
      <c r="L2599" s="899"/>
      <c r="M2599" s="899"/>
      <c r="N2599" s="899"/>
      <c r="O2599" s="899"/>
      <c r="P2599" s="899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96"/>
      <c r="E2600" s="677"/>
      <c r="F2600" s="677"/>
      <c r="G2600" s="677"/>
      <c r="H2600" s="897"/>
      <c r="I2600" s="898"/>
      <c r="J2600" s="898"/>
      <c r="K2600" s="899"/>
      <c r="L2600" s="899"/>
      <c r="M2600" s="899"/>
      <c r="N2600" s="899"/>
      <c r="O2600" s="899"/>
      <c r="P2600" s="899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96"/>
      <c r="E2601" s="677"/>
      <c r="F2601" s="677"/>
      <c r="G2601" s="677"/>
      <c r="H2601" s="897"/>
      <c r="I2601" s="898"/>
      <c r="J2601" s="898"/>
      <c r="K2601" s="899"/>
      <c r="L2601" s="899"/>
      <c r="M2601" s="899"/>
      <c r="N2601" s="899"/>
      <c r="O2601" s="899"/>
      <c r="P2601" s="899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96"/>
      <c r="E2602" s="677"/>
      <c r="F2602" s="677"/>
      <c r="G2602" s="677"/>
      <c r="H2602" s="897"/>
      <c r="I2602" s="898"/>
      <c r="J2602" s="898"/>
      <c r="K2602" s="899"/>
      <c r="L2602" s="899"/>
      <c r="M2602" s="899"/>
      <c r="N2602" s="899"/>
      <c r="O2602" s="899"/>
      <c r="P2602" s="899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96"/>
      <c r="E2603" s="677"/>
      <c r="F2603" s="677"/>
      <c r="G2603" s="677"/>
      <c r="H2603" s="897"/>
      <c r="I2603" s="898"/>
      <c r="J2603" s="898"/>
      <c r="K2603" s="899"/>
      <c r="L2603" s="899"/>
      <c r="M2603" s="899"/>
      <c r="N2603" s="899"/>
      <c r="O2603" s="899"/>
      <c r="P2603" s="899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96"/>
      <c r="E2604" s="677"/>
      <c r="F2604" s="677"/>
      <c r="G2604" s="677"/>
      <c r="H2604" s="897"/>
      <c r="I2604" s="898"/>
      <c r="J2604" s="898"/>
      <c r="K2604" s="899"/>
      <c r="L2604" s="899"/>
      <c r="M2604" s="899"/>
      <c r="N2604" s="899"/>
      <c r="O2604" s="899"/>
      <c r="P2604" s="899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96"/>
      <c r="E2605" s="677"/>
      <c r="F2605" s="677"/>
      <c r="G2605" s="677"/>
      <c r="H2605" s="897"/>
      <c r="I2605" s="898"/>
      <c r="J2605" s="898"/>
      <c r="K2605" s="899"/>
      <c r="L2605" s="899"/>
      <c r="M2605" s="899"/>
      <c r="N2605" s="899"/>
      <c r="O2605" s="899"/>
      <c r="P2605" s="899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96"/>
      <c r="E2606" s="677"/>
      <c r="F2606" s="677"/>
      <c r="G2606" s="677"/>
      <c r="H2606" s="897"/>
      <c r="I2606" s="898"/>
      <c r="J2606" s="898"/>
      <c r="K2606" s="899"/>
      <c r="L2606" s="899"/>
      <c r="M2606" s="899"/>
      <c r="N2606" s="899"/>
      <c r="O2606" s="899"/>
      <c r="P2606" s="899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96"/>
      <c r="E2607" s="677"/>
      <c r="F2607" s="677"/>
      <c r="G2607" s="677"/>
      <c r="H2607" s="897"/>
      <c r="I2607" s="898"/>
      <c r="J2607" s="898"/>
      <c r="K2607" s="899"/>
      <c r="L2607" s="899"/>
      <c r="M2607" s="899"/>
      <c r="N2607" s="899"/>
      <c r="O2607" s="899"/>
      <c r="P2607" s="899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96"/>
      <c r="E2608" s="677"/>
      <c r="F2608" s="677"/>
      <c r="G2608" s="677"/>
      <c r="H2608" s="897"/>
      <c r="I2608" s="898"/>
      <c r="J2608" s="898"/>
      <c r="K2608" s="899"/>
      <c r="L2608" s="899"/>
      <c r="M2608" s="899"/>
      <c r="N2608" s="899"/>
      <c r="O2608" s="899"/>
      <c r="P2608" s="899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96"/>
      <c r="E2609" s="677"/>
      <c r="F2609" s="677"/>
      <c r="G2609" s="677"/>
      <c r="H2609" s="897"/>
      <c r="I2609" s="898"/>
      <c r="J2609" s="898"/>
      <c r="K2609" s="899"/>
      <c r="L2609" s="899"/>
      <c r="M2609" s="899"/>
      <c r="N2609" s="899"/>
      <c r="O2609" s="899"/>
      <c r="P2609" s="899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96"/>
      <c r="E2610" s="677"/>
      <c r="F2610" s="677"/>
      <c r="G2610" s="677"/>
      <c r="H2610" s="897"/>
      <c r="I2610" s="898"/>
      <c r="J2610" s="898"/>
      <c r="K2610" s="899"/>
      <c r="L2610" s="899"/>
      <c r="M2610" s="899"/>
      <c r="N2610" s="899"/>
      <c r="O2610" s="899"/>
      <c r="P2610" s="899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96"/>
      <c r="E2611" s="677"/>
      <c r="F2611" s="677"/>
      <c r="G2611" s="677"/>
      <c r="H2611" s="897"/>
      <c r="I2611" s="898"/>
      <c r="J2611" s="898"/>
      <c r="K2611" s="899"/>
      <c r="L2611" s="899"/>
      <c r="M2611" s="899"/>
      <c r="N2611" s="899"/>
      <c r="O2611" s="899"/>
      <c r="P2611" s="899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96"/>
      <c r="E2612" s="677"/>
      <c r="F2612" s="677"/>
      <c r="G2612" s="677"/>
      <c r="H2612" s="897"/>
      <c r="I2612" s="898"/>
      <c r="J2612" s="898"/>
      <c r="K2612" s="899"/>
      <c r="L2612" s="899"/>
      <c r="M2612" s="899"/>
      <c r="N2612" s="899"/>
      <c r="O2612" s="899"/>
      <c r="P2612" s="899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96"/>
      <c r="E2613" s="677"/>
      <c r="F2613" s="677"/>
      <c r="G2613" s="677"/>
      <c r="H2613" s="897"/>
      <c r="I2613" s="898"/>
      <c r="J2613" s="898"/>
      <c r="K2613" s="899"/>
      <c r="L2613" s="899"/>
      <c r="M2613" s="899"/>
      <c r="N2613" s="899"/>
      <c r="O2613" s="899"/>
      <c r="P2613" s="899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96"/>
      <c r="E2614" s="677"/>
      <c r="F2614" s="677"/>
      <c r="G2614" s="677"/>
      <c r="H2614" s="897"/>
      <c r="I2614" s="898"/>
      <c r="J2614" s="898"/>
      <c r="K2614" s="899"/>
      <c r="L2614" s="899"/>
      <c r="M2614" s="899"/>
      <c r="N2614" s="899"/>
      <c r="O2614" s="899"/>
      <c r="P2614" s="899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96"/>
      <c r="E2615" s="677"/>
      <c r="F2615" s="677"/>
      <c r="G2615" s="677"/>
      <c r="H2615" s="897"/>
      <c r="I2615" s="898"/>
      <c r="J2615" s="898"/>
      <c r="K2615" s="899"/>
      <c r="L2615" s="899"/>
      <c r="M2615" s="899"/>
      <c r="N2615" s="899"/>
      <c r="O2615" s="899"/>
      <c r="P2615" s="899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96"/>
      <c r="E2616" s="677"/>
      <c r="F2616" s="677"/>
      <c r="G2616" s="677"/>
      <c r="H2616" s="897"/>
      <c r="I2616" s="898"/>
      <c r="J2616" s="898"/>
      <c r="K2616" s="899"/>
      <c r="L2616" s="899"/>
      <c r="M2616" s="899"/>
      <c r="N2616" s="899"/>
      <c r="O2616" s="899"/>
      <c r="P2616" s="899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96"/>
      <c r="E2617" s="677"/>
      <c r="F2617" s="677"/>
      <c r="G2617" s="677"/>
      <c r="H2617" s="897"/>
      <c r="I2617" s="898"/>
      <c r="J2617" s="898"/>
      <c r="K2617" s="899"/>
      <c r="L2617" s="899"/>
      <c r="M2617" s="899"/>
      <c r="N2617" s="899"/>
      <c r="O2617" s="899"/>
      <c r="P2617" s="899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96"/>
      <c r="E2618" s="677"/>
      <c r="F2618" s="677"/>
      <c r="G2618" s="677"/>
      <c r="H2618" s="897"/>
      <c r="I2618" s="898"/>
      <c r="J2618" s="898"/>
      <c r="K2618" s="899"/>
      <c r="L2618" s="899"/>
      <c r="M2618" s="899"/>
      <c r="N2618" s="899"/>
      <c r="O2618" s="899"/>
      <c r="P2618" s="899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96"/>
      <c r="E2619" s="677"/>
      <c r="F2619" s="677"/>
      <c r="G2619" s="677"/>
      <c r="H2619" s="897"/>
      <c r="I2619" s="898"/>
      <c r="J2619" s="898"/>
      <c r="K2619" s="899"/>
      <c r="L2619" s="899"/>
      <c r="M2619" s="899"/>
      <c r="N2619" s="899"/>
      <c r="O2619" s="899"/>
      <c r="P2619" s="899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96"/>
      <c r="E2620" s="677"/>
      <c r="F2620" s="677"/>
      <c r="G2620" s="677"/>
      <c r="H2620" s="897"/>
      <c r="I2620" s="898"/>
      <c r="J2620" s="898"/>
      <c r="K2620" s="899"/>
      <c r="L2620" s="899"/>
      <c r="M2620" s="899"/>
      <c r="N2620" s="899"/>
      <c r="O2620" s="899"/>
      <c r="P2620" s="899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96"/>
      <c r="E2621" s="677"/>
      <c r="F2621" s="677"/>
      <c r="G2621" s="677"/>
      <c r="H2621" s="897"/>
      <c r="I2621" s="898"/>
      <c r="J2621" s="898"/>
      <c r="K2621" s="899"/>
      <c r="L2621" s="899"/>
      <c r="M2621" s="899"/>
      <c r="N2621" s="899"/>
      <c r="O2621" s="899"/>
      <c r="P2621" s="899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96"/>
      <c r="E2622" s="677"/>
      <c r="F2622" s="677"/>
      <c r="G2622" s="677"/>
      <c r="H2622" s="897"/>
      <c r="I2622" s="898"/>
      <c r="J2622" s="898"/>
      <c r="K2622" s="899"/>
      <c r="L2622" s="899"/>
      <c r="M2622" s="899"/>
      <c r="N2622" s="899"/>
      <c r="O2622" s="899"/>
      <c r="P2622" s="899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96"/>
      <c r="E2623" s="677"/>
      <c r="F2623" s="677"/>
      <c r="G2623" s="677"/>
      <c r="H2623" s="897"/>
      <c r="I2623" s="898"/>
      <c r="J2623" s="898"/>
      <c r="K2623" s="899"/>
      <c r="L2623" s="899"/>
      <c r="M2623" s="899"/>
      <c r="N2623" s="899"/>
      <c r="O2623" s="899"/>
      <c r="P2623" s="899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96"/>
      <c r="E2624" s="677"/>
      <c r="F2624" s="677"/>
      <c r="G2624" s="677"/>
      <c r="H2624" s="897"/>
      <c r="I2624" s="898"/>
      <c r="J2624" s="898"/>
      <c r="K2624" s="899"/>
      <c r="L2624" s="899"/>
      <c r="M2624" s="899"/>
      <c r="N2624" s="899"/>
      <c r="O2624" s="899"/>
      <c r="P2624" s="899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96"/>
      <c r="E2625" s="677"/>
      <c r="F2625" s="677"/>
      <c r="G2625" s="677"/>
      <c r="H2625" s="897"/>
      <c r="I2625" s="898"/>
      <c r="J2625" s="898"/>
      <c r="K2625" s="899"/>
      <c r="L2625" s="899"/>
      <c r="M2625" s="899"/>
      <c r="N2625" s="899"/>
      <c r="O2625" s="899"/>
      <c r="P2625" s="899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96"/>
      <c r="E2626" s="677"/>
      <c r="F2626" s="677"/>
      <c r="G2626" s="677"/>
      <c r="H2626" s="897"/>
      <c r="I2626" s="898"/>
      <c r="J2626" s="898"/>
      <c r="K2626" s="899"/>
      <c r="L2626" s="899"/>
      <c r="M2626" s="899"/>
      <c r="N2626" s="899"/>
      <c r="O2626" s="899"/>
      <c r="P2626" s="899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96"/>
      <c r="E2627" s="677"/>
      <c r="F2627" s="677"/>
      <c r="G2627" s="677"/>
      <c r="H2627" s="897"/>
      <c r="I2627" s="898"/>
      <c r="J2627" s="898"/>
      <c r="K2627" s="899"/>
      <c r="L2627" s="899"/>
      <c r="M2627" s="899"/>
      <c r="N2627" s="899"/>
      <c r="O2627" s="899"/>
      <c r="P2627" s="899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96"/>
      <c r="E2628" s="677"/>
      <c r="F2628" s="677"/>
      <c r="G2628" s="677"/>
      <c r="H2628" s="897"/>
      <c r="I2628" s="898"/>
      <c r="J2628" s="898"/>
      <c r="K2628" s="899"/>
      <c r="L2628" s="899"/>
      <c r="M2628" s="899"/>
      <c r="N2628" s="899"/>
      <c r="O2628" s="899"/>
      <c r="P2628" s="899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96"/>
      <c r="E2629" s="677"/>
      <c r="F2629" s="677"/>
      <c r="G2629" s="677"/>
      <c r="H2629" s="897"/>
      <c r="I2629" s="898"/>
      <c r="J2629" s="898"/>
      <c r="K2629" s="899"/>
      <c r="L2629" s="899"/>
      <c r="M2629" s="899"/>
      <c r="N2629" s="899"/>
      <c r="O2629" s="899"/>
      <c r="P2629" s="899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96"/>
      <c r="E2630" s="677"/>
      <c r="F2630" s="677"/>
      <c r="G2630" s="677"/>
      <c r="H2630" s="897"/>
      <c r="I2630" s="898"/>
      <c r="J2630" s="898"/>
      <c r="K2630" s="899"/>
      <c r="L2630" s="899"/>
      <c r="M2630" s="899"/>
      <c r="N2630" s="899"/>
      <c r="O2630" s="899"/>
      <c r="P2630" s="899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96"/>
      <c r="E2631" s="677"/>
      <c r="F2631" s="677"/>
      <c r="G2631" s="677"/>
      <c r="H2631" s="897"/>
      <c r="I2631" s="898"/>
      <c r="J2631" s="898"/>
      <c r="K2631" s="899"/>
      <c r="L2631" s="899"/>
      <c r="M2631" s="899"/>
      <c r="N2631" s="899"/>
      <c r="O2631" s="899"/>
      <c r="P2631" s="899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96"/>
      <c r="E2632" s="677"/>
      <c r="F2632" s="677"/>
      <c r="G2632" s="677"/>
      <c r="H2632" s="897"/>
      <c r="I2632" s="898"/>
      <c r="J2632" s="898"/>
      <c r="K2632" s="899"/>
      <c r="L2632" s="899"/>
      <c r="M2632" s="899"/>
      <c r="N2632" s="899"/>
      <c r="O2632" s="899"/>
      <c r="P2632" s="899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96"/>
      <c r="E2633" s="677"/>
      <c r="F2633" s="677"/>
      <c r="G2633" s="677"/>
      <c r="H2633" s="897"/>
      <c r="I2633" s="898"/>
      <c r="J2633" s="898"/>
      <c r="K2633" s="899"/>
      <c r="L2633" s="899"/>
      <c r="M2633" s="899"/>
      <c r="N2633" s="899"/>
      <c r="O2633" s="899"/>
      <c r="P2633" s="899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96"/>
      <c r="E2634" s="677"/>
      <c r="F2634" s="677"/>
      <c r="G2634" s="677"/>
      <c r="H2634" s="897"/>
      <c r="I2634" s="898"/>
      <c r="J2634" s="898"/>
      <c r="K2634" s="899"/>
      <c r="L2634" s="899"/>
      <c r="M2634" s="899"/>
      <c r="N2634" s="899"/>
      <c r="O2634" s="899"/>
      <c r="P2634" s="899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96"/>
      <c r="E2635" s="677"/>
      <c r="F2635" s="677"/>
      <c r="G2635" s="677"/>
      <c r="H2635" s="897"/>
      <c r="I2635" s="898"/>
      <c r="J2635" s="898"/>
      <c r="K2635" s="899"/>
      <c r="L2635" s="899"/>
      <c r="M2635" s="899"/>
      <c r="N2635" s="899"/>
      <c r="O2635" s="899"/>
      <c r="P2635" s="899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96"/>
      <c r="E2636" s="677"/>
      <c r="F2636" s="677"/>
      <c r="G2636" s="677"/>
      <c r="H2636" s="897"/>
      <c r="I2636" s="898"/>
      <c r="J2636" s="898"/>
      <c r="K2636" s="899"/>
      <c r="L2636" s="899"/>
      <c r="M2636" s="899"/>
      <c r="N2636" s="899"/>
      <c r="O2636" s="899"/>
      <c r="P2636" s="899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96"/>
      <c r="E2637" s="677"/>
      <c r="F2637" s="677"/>
      <c r="G2637" s="677"/>
      <c r="H2637" s="897"/>
      <c r="I2637" s="898"/>
      <c r="J2637" s="898"/>
      <c r="K2637" s="899"/>
      <c r="L2637" s="899"/>
      <c r="M2637" s="899"/>
      <c r="N2637" s="899"/>
      <c r="O2637" s="899"/>
      <c r="P2637" s="899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96"/>
      <c r="E2638" s="677"/>
      <c r="F2638" s="677"/>
      <c r="G2638" s="677"/>
      <c r="H2638" s="897"/>
      <c r="I2638" s="898"/>
      <c r="J2638" s="898"/>
      <c r="K2638" s="899"/>
      <c r="L2638" s="899"/>
      <c r="M2638" s="899"/>
      <c r="N2638" s="899"/>
      <c r="O2638" s="899"/>
      <c r="P2638" s="899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96"/>
      <c r="E2639" s="677"/>
      <c r="F2639" s="677"/>
      <c r="G2639" s="677"/>
      <c r="H2639" s="897"/>
      <c r="I2639" s="898"/>
      <c r="J2639" s="898"/>
      <c r="K2639" s="899"/>
      <c r="L2639" s="899"/>
      <c r="M2639" s="899"/>
      <c r="N2639" s="899"/>
      <c r="O2639" s="899"/>
      <c r="P2639" s="899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96"/>
      <c r="E2640" s="677"/>
      <c r="F2640" s="677"/>
      <c r="G2640" s="677"/>
      <c r="H2640" s="897"/>
      <c r="I2640" s="898"/>
      <c r="J2640" s="898"/>
      <c r="K2640" s="899"/>
      <c r="L2640" s="899"/>
      <c r="M2640" s="899"/>
      <c r="N2640" s="899"/>
      <c r="O2640" s="899"/>
      <c r="P2640" s="899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96"/>
      <c r="E2641" s="677"/>
      <c r="F2641" s="677"/>
      <c r="G2641" s="677"/>
      <c r="H2641" s="897"/>
      <c r="I2641" s="898"/>
      <c r="J2641" s="898"/>
      <c r="K2641" s="899"/>
      <c r="L2641" s="899"/>
      <c r="M2641" s="899"/>
      <c r="N2641" s="899"/>
      <c r="O2641" s="899"/>
      <c r="P2641" s="899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96"/>
      <c r="E2642" s="677"/>
      <c r="F2642" s="677"/>
      <c r="G2642" s="677"/>
      <c r="H2642" s="897"/>
      <c r="I2642" s="898"/>
      <c r="J2642" s="898"/>
      <c r="K2642" s="899"/>
      <c r="L2642" s="899"/>
      <c r="M2642" s="899"/>
      <c r="N2642" s="899"/>
      <c r="O2642" s="899"/>
      <c r="P2642" s="899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96"/>
      <c r="E2643" s="677"/>
      <c r="F2643" s="677"/>
      <c r="G2643" s="677"/>
      <c r="H2643" s="897"/>
      <c r="I2643" s="898"/>
      <c r="J2643" s="898"/>
      <c r="K2643" s="899"/>
      <c r="L2643" s="899"/>
      <c r="M2643" s="899"/>
      <c r="N2643" s="899"/>
      <c r="O2643" s="899"/>
      <c r="P2643" s="899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96"/>
      <c r="E2644" s="677"/>
      <c r="F2644" s="677"/>
      <c r="G2644" s="677"/>
      <c r="H2644" s="897"/>
      <c r="I2644" s="898"/>
      <c r="J2644" s="898"/>
      <c r="K2644" s="899"/>
      <c r="L2644" s="899"/>
      <c r="M2644" s="899"/>
      <c r="N2644" s="899"/>
      <c r="O2644" s="899"/>
      <c r="P2644" s="899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96"/>
      <c r="E2645" s="677"/>
      <c r="F2645" s="677"/>
      <c r="G2645" s="677"/>
      <c r="H2645" s="897"/>
      <c r="I2645" s="898"/>
      <c r="J2645" s="898"/>
      <c r="K2645" s="899"/>
      <c r="L2645" s="899"/>
      <c r="M2645" s="899"/>
      <c r="N2645" s="899"/>
      <c r="O2645" s="899"/>
      <c r="P2645" s="899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96"/>
      <c r="E2646" s="677"/>
      <c r="F2646" s="677"/>
      <c r="G2646" s="677"/>
      <c r="H2646" s="897"/>
      <c r="I2646" s="898"/>
      <c r="J2646" s="898"/>
      <c r="K2646" s="899"/>
      <c r="L2646" s="899"/>
      <c r="M2646" s="899"/>
      <c r="N2646" s="899"/>
      <c r="O2646" s="899"/>
      <c r="P2646" s="899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96"/>
      <c r="E2647" s="677"/>
      <c r="F2647" s="677"/>
      <c r="G2647" s="677"/>
      <c r="H2647" s="897"/>
      <c r="I2647" s="898"/>
      <c r="J2647" s="898"/>
      <c r="K2647" s="899"/>
      <c r="L2647" s="899"/>
      <c r="M2647" s="899"/>
      <c r="N2647" s="899"/>
      <c r="O2647" s="899"/>
      <c r="P2647" s="899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96"/>
      <c r="E2648" s="677"/>
      <c r="F2648" s="677"/>
      <c r="G2648" s="677"/>
      <c r="H2648" s="897"/>
      <c r="I2648" s="898"/>
      <c r="J2648" s="898"/>
      <c r="K2648" s="899"/>
      <c r="L2648" s="899"/>
      <c r="M2648" s="899"/>
      <c r="N2648" s="899"/>
      <c r="O2648" s="899"/>
      <c r="P2648" s="899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96"/>
      <c r="E2649" s="677"/>
      <c r="F2649" s="677"/>
      <c r="G2649" s="677"/>
      <c r="H2649" s="897"/>
      <c r="I2649" s="898"/>
      <c r="J2649" s="898"/>
      <c r="K2649" s="899"/>
      <c r="L2649" s="899"/>
      <c r="M2649" s="899"/>
      <c r="N2649" s="899"/>
      <c r="O2649" s="899"/>
      <c r="P2649" s="899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96"/>
      <c r="E2650" s="677"/>
      <c r="F2650" s="677"/>
      <c r="G2650" s="677"/>
      <c r="H2650" s="897"/>
      <c r="I2650" s="898"/>
      <c r="J2650" s="898"/>
      <c r="K2650" s="899"/>
      <c r="L2650" s="899"/>
      <c r="M2650" s="899"/>
      <c r="N2650" s="899"/>
      <c r="O2650" s="899"/>
      <c r="P2650" s="899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96"/>
      <c r="E2651" s="677"/>
      <c r="F2651" s="677"/>
      <c r="G2651" s="677"/>
      <c r="H2651" s="897"/>
      <c r="I2651" s="898"/>
      <c r="J2651" s="898"/>
      <c r="K2651" s="899"/>
      <c r="L2651" s="899"/>
      <c r="M2651" s="899"/>
      <c r="N2651" s="899"/>
      <c r="O2651" s="899"/>
      <c r="P2651" s="899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96"/>
      <c r="E2652" s="677"/>
      <c r="F2652" s="677"/>
      <c r="G2652" s="677"/>
      <c r="H2652" s="897"/>
      <c r="I2652" s="898"/>
      <c r="J2652" s="898"/>
      <c r="K2652" s="899"/>
      <c r="L2652" s="899"/>
      <c r="M2652" s="899"/>
      <c r="N2652" s="899"/>
      <c r="O2652" s="899"/>
      <c r="P2652" s="899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96"/>
      <c r="E2653" s="677"/>
      <c r="F2653" s="677"/>
      <c r="G2653" s="677"/>
      <c r="H2653" s="897"/>
      <c r="I2653" s="898"/>
      <c r="J2653" s="898"/>
      <c r="K2653" s="899"/>
      <c r="L2653" s="899"/>
      <c r="M2653" s="899"/>
      <c r="N2653" s="899"/>
      <c r="O2653" s="899"/>
      <c r="P2653" s="899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96"/>
      <c r="E2654" s="677"/>
      <c r="F2654" s="677"/>
      <c r="G2654" s="677"/>
      <c r="H2654" s="897"/>
      <c r="I2654" s="898"/>
      <c r="J2654" s="898"/>
      <c r="K2654" s="899"/>
      <c r="L2654" s="899"/>
      <c r="M2654" s="899"/>
      <c r="N2654" s="899"/>
      <c r="O2654" s="899"/>
      <c r="P2654" s="899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96"/>
      <c r="E2655" s="677"/>
      <c r="F2655" s="677"/>
      <c r="G2655" s="677"/>
      <c r="H2655" s="897"/>
      <c r="I2655" s="898"/>
      <c r="J2655" s="898"/>
      <c r="K2655" s="899"/>
      <c r="L2655" s="899"/>
      <c r="M2655" s="899"/>
      <c r="N2655" s="899"/>
      <c r="O2655" s="899"/>
      <c r="P2655" s="899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96"/>
      <c r="E2656" s="677"/>
      <c r="F2656" s="677"/>
      <c r="G2656" s="677"/>
      <c r="H2656" s="897"/>
      <c r="I2656" s="898"/>
      <c r="J2656" s="898"/>
      <c r="K2656" s="899"/>
      <c r="L2656" s="899"/>
      <c r="M2656" s="899"/>
      <c r="N2656" s="899"/>
      <c r="O2656" s="899"/>
      <c r="P2656" s="899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96"/>
      <c r="E2657" s="677"/>
      <c r="F2657" s="677"/>
      <c r="G2657" s="677"/>
      <c r="H2657" s="897"/>
      <c r="I2657" s="898"/>
      <c r="J2657" s="898"/>
      <c r="K2657" s="899"/>
      <c r="L2657" s="899"/>
      <c r="M2657" s="899"/>
      <c r="N2657" s="899"/>
      <c r="O2657" s="899"/>
      <c r="P2657" s="899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96"/>
      <c r="E2658" s="677"/>
      <c r="F2658" s="677"/>
      <c r="G2658" s="677"/>
      <c r="H2658" s="897"/>
      <c r="I2658" s="898"/>
      <c r="J2658" s="898"/>
      <c r="K2658" s="899"/>
      <c r="L2658" s="899"/>
      <c r="M2658" s="899"/>
      <c r="N2658" s="899"/>
      <c r="O2658" s="899"/>
      <c r="P2658" s="899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96"/>
      <c r="E2659" s="677"/>
      <c r="F2659" s="677"/>
      <c r="G2659" s="677"/>
      <c r="H2659" s="897"/>
      <c r="I2659" s="898"/>
      <c r="J2659" s="898"/>
      <c r="K2659" s="899"/>
      <c r="L2659" s="899"/>
      <c r="M2659" s="899"/>
      <c r="N2659" s="899"/>
      <c r="O2659" s="899"/>
      <c r="P2659" s="899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96"/>
      <c r="E2660" s="677"/>
      <c r="F2660" s="677"/>
      <c r="G2660" s="677"/>
      <c r="H2660" s="897"/>
      <c r="I2660" s="898"/>
      <c r="J2660" s="898"/>
      <c r="K2660" s="899"/>
      <c r="L2660" s="899"/>
      <c r="M2660" s="899"/>
      <c r="N2660" s="899"/>
      <c r="O2660" s="899"/>
      <c r="P2660" s="899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96"/>
      <c r="E2661" s="677"/>
      <c r="F2661" s="677"/>
      <c r="G2661" s="677"/>
      <c r="H2661" s="897"/>
      <c r="I2661" s="898"/>
      <c r="J2661" s="898"/>
      <c r="K2661" s="899"/>
      <c r="L2661" s="899"/>
      <c r="M2661" s="899"/>
      <c r="N2661" s="899"/>
      <c r="O2661" s="899"/>
      <c r="P2661" s="899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96"/>
      <c r="E2662" s="677"/>
      <c r="F2662" s="677"/>
      <c r="G2662" s="677"/>
      <c r="H2662" s="897"/>
      <c r="I2662" s="898"/>
      <c r="J2662" s="898"/>
      <c r="K2662" s="899"/>
      <c r="L2662" s="899"/>
      <c r="M2662" s="899"/>
      <c r="N2662" s="899"/>
      <c r="O2662" s="899"/>
      <c r="P2662" s="899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96"/>
      <c r="E2663" s="677"/>
      <c r="F2663" s="677"/>
      <c r="G2663" s="677"/>
      <c r="H2663" s="897"/>
      <c r="I2663" s="898"/>
      <c r="J2663" s="898"/>
      <c r="K2663" s="899"/>
      <c r="L2663" s="899"/>
      <c r="M2663" s="899"/>
      <c r="N2663" s="899"/>
      <c r="O2663" s="899"/>
      <c r="P2663" s="899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96"/>
      <c r="E2664" s="677"/>
      <c r="F2664" s="677"/>
      <c r="G2664" s="677"/>
      <c r="H2664" s="897"/>
      <c r="I2664" s="898"/>
      <c r="J2664" s="898"/>
      <c r="K2664" s="899"/>
      <c r="L2664" s="899"/>
      <c r="M2664" s="899"/>
      <c r="N2664" s="899"/>
      <c r="O2664" s="899"/>
      <c r="P2664" s="899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96"/>
      <c r="E2665" s="677"/>
      <c r="F2665" s="677"/>
      <c r="G2665" s="677"/>
      <c r="H2665" s="897"/>
      <c r="I2665" s="898"/>
      <c r="J2665" s="898"/>
      <c r="K2665" s="899"/>
      <c r="L2665" s="899"/>
      <c r="M2665" s="899"/>
      <c r="N2665" s="899"/>
      <c r="O2665" s="899"/>
      <c r="P2665" s="899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96"/>
      <c r="E2666" s="677"/>
      <c r="F2666" s="677"/>
      <c r="G2666" s="677"/>
      <c r="H2666" s="897"/>
      <c r="I2666" s="898"/>
      <c r="J2666" s="898"/>
      <c r="K2666" s="899"/>
      <c r="L2666" s="899"/>
      <c r="M2666" s="899"/>
      <c r="N2666" s="899"/>
      <c r="O2666" s="899"/>
      <c r="P2666" s="899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96"/>
      <c r="E2667" s="677"/>
      <c r="F2667" s="677"/>
      <c r="G2667" s="677"/>
      <c r="H2667" s="897"/>
      <c r="I2667" s="898"/>
      <c r="J2667" s="898"/>
      <c r="K2667" s="899"/>
      <c r="L2667" s="899"/>
      <c r="M2667" s="899"/>
      <c r="N2667" s="899"/>
      <c r="O2667" s="899"/>
      <c r="P2667" s="899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96"/>
      <c r="E2668" s="677"/>
      <c r="F2668" s="677"/>
      <c r="G2668" s="677"/>
      <c r="H2668" s="897"/>
      <c r="I2668" s="898"/>
      <c r="J2668" s="898"/>
      <c r="K2668" s="899"/>
      <c r="L2668" s="899"/>
      <c r="M2668" s="899"/>
      <c r="N2668" s="899"/>
      <c r="O2668" s="899"/>
      <c r="P2668" s="899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96"/>
      <c r="E2669" s="677"/>
      <c r="F2669" s="677"/>
      <c r="G2669" s="677"/>
      <c r="H2669" s="897"/>
      <c r="I2669" s="898"/>
      <c r="J2669" s="898"/>
      <c r="K2669" s="899"/>
      <c r="L2669" s="899"/>
      <c r="M2669" s="899"/>
      <c r="N2669" s="899"/>
      <c r="O2669" s="899"/>
      <c r="P2669" s="899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96"/>
      <c r="E2670" s="677"/>
      <c r="F2670" s="677"/>
      <c r="G2670" s="677"/>
      <c r="H2670" s="897"/>
      <c r="I2670" s="898"/>
      <c r="J2670" s="898"/>
      <c r="K2670" s="899"/>
      <c r="L2670" s="899"/>
      <c r="M2670" s="899"/>
      <c r="N2670" s="899"/>
      <c r="O2670" s="899"/>
      <c r="P2670" s="899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96"/>
      <c r="E2671" s="677"/>
      <c r="F2671" s="677"/>
      <c r="G2671" s="677"/>
      <c r="H2671" s="897"/>
      <c r="I2671" s="898"/>
      <c r="J2671" s="898"/>
      <c r="K2671" s="899"/>
      <c r="L2671" s="899"/>
      <c r="M2671" s="899"/>
      <c r="N2671" s="899"/>
      <c r="O2671" s="899"/>
      <c r="P2671" s="899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96"/>
      <c r="E2672" s="677"/>
      <c r="F2672" s="677"/>
      <c r="G2672" s="677"/>
      <c r="H2672" s="897"/>
      <c r="I2672" s="898"/>
      <c r="J2672" s="898"/>
      <c r="K2672" s="899"/>
      <c r="L2672" s="899"/>
      <c r="M2672" s="899"/>
      <c r="N2672" s="899"/>
      <c r="O2672" s="899"/>
      <c r="P2672" s="899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96"/>
      <c r="E2673" s="677"/>
      <c r="F2673" s="677"/>
      <c r="G2673" s="677"/>
      <c r="H2673" s="897"/>
      <c r="I2673" s="898"/>
      <c r="J2673" s="898"/>
      <c r="K2673" s="899"/>
      <c r="L2673" s="899"/>
      <c r="M2673" s="899"/>
      <c r="N2673" s="899"/>
      <c r="O2673" s="899"/>
      <c r="P2673" s="899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96"/>
      <c r="E2674" s="677"/>
      <c r="F2674" s="677"/>
      <c r="G2674" s="677"/>
      <c r="H2674" s="897"/>
      <c r="I2674" s="898"/>
      <c r="J2674" s="898"/>
      <c r="K2674" s="899"/>
      <c r="L2674" s="899"/>
      <c r="M2674" s="899"/>
      <c r="N2674" s="899"/>
      <c r="O2674" s="899"/>
      <c r="P2674" s="899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96"/>
      <c r="E2675" s="677"/>
      <c r="F2675" s="677"/>
      <c r="G2675" s="677"/>
      <c r="H2675" s="897"/>
      <c r="I2675" s="898"/>
      <c r="J2675" s="898"/>
      <c r="K2675" s="899"/>
      <c r="L2675" s="899"/>
      <c r="M2675" s="899"/>
      <c r="N2675" s="899"/>
      <c r="O2675" s="899"/>
      <c r="P2675" s="899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96"/>
      <c r="E2676" s="677"/>
      <c r="F2676" s="677"/>
      <c r="G2676" s="677"/>
      <c r="H2676" s="897"/>
      <c r="I2676" s="898"/>
      <c r="J2676" s="898"/>
      <c r="K2676" s="899"/>
      <c r="L2676" s="899"/>
      <c r="M2676" s="899"/>
      <c r="N2676" s="899"/>
      <c r="O2676" s="899"/>
      <c r="P2676" s="899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96"/>
      <c r="E2677" s="677"/>
      <c r="F2677" s="677"/>
      <c r="G2677" s="677"/>
      <c r="H2677" s="897"/>
      <c r="I2677" s="898"/>
      <c r="J2677" s="898"/>
      <c r="K2677" s="899"/>
      <c r="L2677" s="899"/>
      <c r="M2677" s="899"/>
      <c r="N2677" s="899"/>
      <c r="O2677" s="899"/>
      <c r="P2677" s="899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96"/>
      <c r="E2678" s="677"/>
      <c r="F2678" s="677"/>
      <c r="G2678" s="677"/>
      <c r="H2678" s="897"/>
      <c r="I2678" s="898"/>
      <c r="J2678" s="898"/>
      <c r="K2678" s="899"/>
      <c r="L2678" s="899"/>
      <c r="M2678" s="899"/>
      <c r="N2678" s="899"/>
      <c r="O2678" s="899"/>
      <c r="P2678" s="899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96"/>
      <c r="E2679" s="677"/>
      <c r="F2679" s="677"/>
      <c r="G2679" s="677"/>
      <c r="H2679" s="897"/>
      <c r="I2679" s="898"/>
      <c r="J2679" s="898"/>
      <c r="K2679" s="899"/>
      <c r="L2679" s="899"/>
      <c r="M2679" s="899"/>
      <c r="N2679" s="899"/>
      <c r="O2679" s="899"/>
      <c r="P2679" s="899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96"/>
      <c r="E2680" s="677"/>
      <c r="F2680" s="677"/>
      <c r="G2680" s="677"/>
      <c r="H2680" s="897"/>
      <c r="I2680" s="898"/>
      <c r="J2680" s="898"/>
      <c r="K2680" s="899"/>
      <c r="L2680" s="899"/>
      <c r="M2680" s="899"/>
      <c r="N2680" s="899"/>
      <c r="O2680" s="899"/>
      <c r="P2680" s="899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96"/>
      <c r="E2681" s="677"/>
      <c r="F2681" s="677"/>
      <c r="G2681" s="677"/>
      <c r="H2681" s="897"/>
      <c r="I2681" s="898"/>
      <c r="J2681" s="898"/>
      <c r="K2681" s="899"/>
      <c r="L2681" s="899"/>
      <c r="M2681" s="899"/>
      <c r="N2681" s="899"/>
      <c r="O2681" s="899"/>
      <c r="P2681" s="899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96"/>
      <c r="E2682" s="677"/>
      <c r="F2682" s="677"/>
      <c r="G2682" s="677"/>
      <c r="H2682" s="897"/>
      <c r="I2682" s="898"/>
      <c r="J2682" s="898"/>
      <c r="K2682" s="899"/>
      <c r="L2682" s="899"/>
      <c r="M2682" s="899"/>
      <c r="N2682" s="899"/>
      <c r="O2682" s="899"/>
      <c r="P2682" s="899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96"/>
      <c r="E2683" s="677"/>
      <c r="F2683" s="677"/>
      <c r="G2683" s="677"/>
      <c r="H2683" s="897"/>
      <c r="I2683" s="898"/>
      <c r="J2683" s="898"/>
      <c r="K2683" s="899"/>
      <c r="L2683" s="899"/>
      <c r="M2683" s="899"/>
      <c r="N2683" s="899"/>
      <c r="O2683" s="899"/>
      <c r="P2683" s="899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96"/>
      <c r="E2684" s="677"/>
      <c r="F2684" s="677"/>
      <c r="G2684" s="677"/>
      <c r="H2684" s="897"/>
      <c r="I2684" s="898"/>
      <c r="J2684" s="898"/>
      <c r="K2684" s="899"/>
      <c r="L2684" s="899"/>
      <c r="M2684" s="899"/>
      <c r="N2684" s="899"/>
      <c r="O2684" s="899"/>
      <c r="P2684" s="899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96"/>
      <c r="E2685" s="677"/>
      <c r="F2685" s="677"/>
      <c r="G2685" s="677"/>
      <c r="H2685" s="897"/>
      <c r="I2685" s="898"/>
      <c r="J2685" s="898"/>
      <c r="K2685" s="899"/>
      <c r="L2685" s="899"/>
      <c r="M2685" s="899"/>
      <c r="N2685" s="899"/>
      <c r="O2685" s="899"/>
      <c r="P2685" s="899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96"/>
      <c r="E2686" s="677"/>
      <c r="F2686" s="677"/>
      <c r="G2686" s="677"/>
      <c r="H2686" s="897"/>
      <c r="I2686" s="898"/>
      <c r="J2686" s="898"/>
      <c r="K2686" s="899"/>
      <c r="L2686" s="899"/>
      <c r="M2686" s="899"/>
      <c r="N2686" s="899"/>
      <c r="O2686" s="899"/>
      <c r="P2686" s="899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96"/>
      <c r="E2687" s="677"/>
      <c r="F2687" s="677"/>
      <c r="G2687" s="677"/>
      <c r="H2687" s="897"/>
      <c r="I2687" s="898"/>
      <c r="J2687" s="898"/>
      <c r="K2687" s="899"/>
      <c r="L2687" s="899"/>
      <c r="M2687" s="899"/>
      <c r="N2687" s="899"/>
      <c r="O2687" s="899"/>
      <c r="P2687" s="899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96"/>
      <c r="E2688" s="677"/>
      <c r="F2688" s="677"/>
      <c r="G2688" s="677"/>
      <c r="H2688" s="897"/>
      <c r="I2688" s="898"/>
      <c r="J2688" s="898"/>
      <c r="K2688" s="899"/>
      <c r="L2688" s="899"/>
      <c r="M2688" s="899"/>
      <c r="N2688" s="899"/>
      <c r="O2688" s="899"/>
      <c r="P2688" s="899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96"/>
      <c r="E2689" s="677"/>
      <c r="F2689" s="677"/>
      <c r="G2689" s="677"/>
      <c r="H2689" s="897"/>
      <c r="I2689" s="898"/>
      <c r="J2689" s="898"/>
      <c r="K2689" s="899"/>
      <c r="L2689" s="899"/>
      <c r="M2689" s="899"/>
      <c r="N2689" s="899"/>
      <c r="O2689" s="899"/>
      <c r="P2689" s="899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96"/>
      <c r="E2690" s="677"/>
      <c r="F2690" s="677"/>
      <c r="G2690" s="677"/>
      <c r="H2690" s="897"/>
      <c r="I2690" s="898"/>
      <c r="J2690" s="898"/>
      <c r="K2690" s="899"/>
      <c r="L2690" s="899"/>
      <c r="M2690" s="899"/>
      <c r="N2690" s="899"/>
      <c r="O2690" s="899"/>
      <c r="P2690" s="899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96"/>
      <c r="E2691" s="677"/>
      <c r="F2691" s="677"/>
      <c r="G2691" s="677"/>
      <c r="H2691" s="897"/>
      <c r="I2691" s="898"/>
      <c r="J2691" s="898"/>
      <c r="K2691" s="899"/>
      <c r="L2691" s="899"/>
      <c r="M2691" s="899"/>
      <c r="N2691" s="899"/>
      <c r="O2691" s="899"/>
      <c r="P2691" s="899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96"/>
      <c r="E2692" s="677"/>
      <c r="F2692" s="677"/>
      <c r="G2692" s="677"/>
      <c r="H2692" s="897"/>
      <c r="I2692" s="898"/>
      <c r="J2692" s="898"/>
      <c r="K2692" s="899"/>
      <c r="L2692" s="899"/>
      <c r="M2692" s="899"/>
      <c r="N2692" s="899"/>
      <c r="O2692" s="899"/>
      <c r="P2692" s="899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96"/>
      <c r="E2693" s="677"/>
      <c r="F2693" s="677"/>
      <c r="G2693" s="677"/>
      <c r="H2693" s="897"/>
      <c r="I2693" s="898"/>
      <c r="J2693" s="898"/>
      <c r="K2693" s="899"/>
      <c r="L2693" s="899"/>
      <c r="M2693" s="899"/>
      <c r="N2693" s="899"/>
      <c r="O2693" s="899"/>
      <c r="P2693" s="899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96"/>
      <c r="E2694" s="677"/>
      <c r="F2694" s="677"/>
      <c r="G2694" s="677"/>
      <c r="H2694" s="897"/>
      <c r="I2694" s="898"/>
      <c r="J2694" s="898"/>
      <c r="K2694" s="899"/>
      <c r="L2694" s="899"/>
      <c r="M2694" s="899"/>
      <c r="N2694" s="899"/>
      <c r="O2694" s="899"/>
      <c r="P2694" s="899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96"/>
      <c r="E2695" s="677"/>
      <c r="F2695" s="677"/>
      <c r="G2695" s="677"/>
      <c r="H2695" s="897"/>
      <c r="I2695" s="898"/>
      <c r="J2695" s="898"/>
      <c r="K2695" s="899"/>
      <c r="L2695" s="899"/>
      <c r="M2695" s="899"/>
      <c r="N2695" s="899"/>
      <c r="O2695" s="899"/>
      <c r="P2695" s="899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96"/>
      <c r="E2696" s="677"/>
      <c r="F2696" s="677"/>
      <c r="G2696" s="677"/>
      <c r="H2696" s="897"/>
      <c r="I2696" s="898"/>
      <c r="J2696" s="898"/>
      <c r="K2696" s="899"/>
      <c r="L2696" s="899"/>
      <c r="M2696" s="899"/>
      <c r="N2696" s="899"/>
      <c r="O2696" s="899"/>
      <c r="P2696" s="899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96"/>
      <c r="E2697" s="677"/>
      <c r="F2697" s="677"/>
      <c r="G2697" s="677"/>
      <c r="H2697" s="897"/>
      <c r="I2697" s="898"/>
      <c r="J2697" s="898"/>
      <c r="K2697" s="899"/>
      <c r="L2697" s="899"/>
      <c r="M2697" s="899"/>
      <c r="N2697" s="899"/>
      <c r="O2697" s="899"/>
      <c r="P2697" s="899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96"/>
      <c r="E2698" s="677"/>
      <c r="F2698" s="677"/>
      <c r="G2698" s="677"/>
      <c r="H2698" s="897"/>
      <c r="I2698" s="898"/>
      <c r="J2698" s="898"/>
      <c r="K2698" s="899"/>
      <c r="L2698" s="899"/>
      <c r="M2698" s="899"/>
      <c r="N2698" s="899"/>
      <c r="O2698" s="899"/>
      <c r="P2698" s="899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96"/>
      <c r="E2699" s="677"/>
      <c r="F2699" s="677"/>
      <c r="G2699" s="677"/>
      <c r="H2699" s="897"/>
      <c r="I2699" s="898"/>
      <c r="J2699" s="898"/>
      <c r="K2699" s="899"/>
      <c r="L2699" s="899"/>
      <c r="M2699" s="899"/>
      <c r="N2699" s="899"/>
      <c r="O2699" s="899"/>
      <c r="P2699" s="899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96"/>
      <c r="E2700" s="677"/>
      <c r="F2700" s="677"/>
      <c r="G2700" s="677"/>
      <c r="H2700" s="897"/>
      <c r="I2700" s="898"/>
      <c r="J2700" s="898"/>
      <c r="K2700" s="899"/>
      <c r="L2700" s="899"/>
      <c r="M2700" s="899"/>
      <c r="N2700" s="899"/>
      <c r="O2700" s="899"/>
      <c r="P2700" s="899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96"/>
      <c r="E2701" s="677"/>
      <c r="F2701" s="677"/>
      <c r="G2701" s="677"/>
      <c r="H2701" s="897"/>
      <c r="I2701" s="898"/>
      <c r="J2701" s="898"/>
      <c r="K2701" s="899"/>
      <c r="L2701" s="899"/>
      <c r="M2701" s="899"/>
      <c r="N2701" s="899"/>
      <c r="O2701" s="899"/>
      <c r="P2701" s="899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96"/>
      <c r="E2702" s="677"/>
      <c r="F2702" s="677"/>
      <c r="G2702" s="677"/>
      <c r="H2702" s="897"/>
      <c r="I2702" s="898"/>
      <c r="J2702" s="898"/>
      <c r="K2702" s="899"/>
      <c r="L2702" s="899"/>
      <c r="M2702" s="899"/>
      <c r="N2702" s="899"/>
      <c r="O2702" s="899"/>
      <c r="P2702" s="899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96"/>
      <c r="E2703" s="677"/>
      <c r="F2703" s="677"/>
      <c r="G2703" s="677"/>
      <c r="H2703" s="897"/>
      <c r="I2703" s="898"/>
      <c r="J2703" s="898"/>
      <c r="K2703" s="899"/>
      <c r="L2703" s="899"/>
      <c r="M2703" s="899"/>
      <c r="N2703" s="899"/>
      <c r="O2703" s="899"/>
      <c r="P2703" s="899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96"/>
      <c r="E2704" s="677"/>
      <c r="F2704" s="677"/>
      <c r="G2704" s="677"/>
      <c r="H2704" s="897"/>
      <c r="I2704" s="898"/>
      <c r="J2704" s="898"/>
      <c r="K2704" s="899"/>
      <c r="L2704" s="899"/>
      <c r="M2704" s="899"/>
      <c r="N2704" s="899"/>
      <c r="O2704" s="899"/>
      <c r="P2704" s="899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96"/>
      <c r="E2705" s="677"/>
      <c r="F2705" s="677"/>
      <c r="G2705" s="677"/>
      <c r="H2705" s="897"/>
      <c r="I2705" s="898"/>
      <c r="J2705" s="898"/>
      <c r="K2705" s="899"/>
      <c r="L2705" s="899"/>
      <c r="M2705" s="899"/>
      <c r="N2705" s="899"/>
      <c r="O2705" s="899"/>
      <c r="P2705" s="899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96"/>
      <c r="E2706" s="677"/>
      <c r="F2706" s="677"/>
      <c r="G2706" s="677"/>
      <c r="H2706" s="897"/>
      <c r="I2706" s="898"/>
      <c r="J2706" s="898"/>
      <c r="K2706" s="899"/>
      <c r="L2706" s="899"/>
      <c r="M2706" s="899"/>
      <c r="N2706" s="899"/>
      <c r="O2706" s="899"/>
      <c r="P2706" s="899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96"/>
      <c r="E2707" s="677"/>
      <c r="F2707" s="677"/>
      <c r="G2707" s="677"/>
      <c r="H2707" s="897"/>
      <c r="I2707" s="898"/>
      <c r="J2707" s="898"/>
      <c r="K2707" s="899"/>
      <c r="L2707" s="899"/>
      <c r="M2707" s="899"/>
      <c r="N2707" s="899"/>
      <c r="O2707" s="899"/>
      <c r="P2707" s="899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96"/>
      <c r="E2708" s="677"/>
      <c r="F2708" s="677"/>
      <c r="G2708" s="677"/>
      <c r="H2708" s="897"/>
      <c r="I2708" s="898"/>
      <c r="J2708" s="898"/>
      <c r="K2708" s="899"/>
      <c r="L2708" s="899"/>
      <c r="M2708" s="899"/>
      <c r="N2708" s="899"/>
      <c r="O2708" s="899"/>
      <c r="P2708" s="899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96"/>
      <c r="E2709" s="677"/>
      <c r="F2709" s="677"/>
      <c r="G2709" s="677"/>
      <c r="H2709" s="897"/>
      <c r="I2709" s="898"/>
      <c r="J2709" s="898"/>
      <c r="K2709" s="899"/>
      <c r="L2709" s="899"/>
      <c r="M2709" s="899"/>
      <c r="N2709" s="899"/>
      <c r="O2709" s="899"/>
      <c r="P2709" s="899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96"/>
      <c r="E2710" s="677"/>
      <c r="F2710" s="677"/>
      <c r="G2710" s="677"/>
      <c r="H2710" s="897"/>
      <c r="I2710" s="898"/>
      <c r="J2710" s="898"/>
      <c r="K2710" s="899"/>
      <c r="L2710" s="899"/>
      <c r="M2710" s="899"/>
      <c r="N2710" s="899"/>
      <c r="O2710" s="899"/>
      <c r="P2710" s="899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96"/>
      <c r="E2711" s="677"/>
      <c r="F2711" s="677"/>
      <c r="G2711" s="677"/>
      <c r="H2711" s="897"/>
      <c r="I2711" s="898"/>
      <c r="J2711" s="898"/>
      <c r="K2711" s="899"/>
      <c r="L2711" s="899"/>
      <c r="M2711" s="899"/>
      <c r="N2711" s="899"/>
      <c r="O2711" s="899"/>
      <c r="P2711" s="899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96"/>
      <c r="E2712" s="677"/>
      <c r="F2712" s="677"/>
      <c r="G2712" s="677"/>
      <c r="H2712" s="897"/>
      <c r="I2712" s="898"/>
      <c r="J2712" s="898"/>
      <c r="K2712" s="899"/>
      <c r="L2712" s="899"/>
      <c r="M2712" s="899"/>
      <c r="N2712" s="899"/>
      <c r="O2712" s="899"/>
      <c r="P2712" s="899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96"/>
      <c r="E2713" s="677"/>
      <c r="F2713" s="677"/>
      <c r="G2713" s="677"/>
      <c r="H2713" s="897"/>
      <c r="I2713" s="898"/>
      <c r="J2713" s="898"/>
      <c r="K2713" s="899"/>
      <c r="L2713" s="899"/>
      <c r="M2713" s="899"/>
      <c r="N2713" s="899"/>
      <c r="O2713" s="899"/>
      <c r="P2713" s="899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96"/>
      <c r="E2714" s="677"/>
      <c r="F2714" s="677"/>
      <c r="G2714" s="677"/>
      <c r="H2714" s="897"/>
      <c r="I2714" s="898"/>
      <c r="J2714" s="898"/>
      <c r="K2714" s="899"/>
      <c r="L2714" s="899"/>
      <c r="M2714" s="899"/>
      <c r="N2714" s="899"/>
      <c r="O2714" s="899"/>
      <c r="P2714" s="899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96"/>
      <c r="E2715" s="677"/>
      <c r="F2715" s="677"/>
      <c r="G2715" s="677"/>
      <c r="H2715" s="897"/>
      <c r="I2715" s="898"/>
      <c r="J2715" s="898"/>
      <c r="K2715" s="899"/>
      <c r="L2715" s="899"/>
      <c r="M2715" s="899"/>
      <c r="N2715" s="899"/>
      <c r="O2715" s="899"/>
      <c r="P2715" s="899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96"/>
      <c r="E2716" s="677"/>
      <c r="F2716" s="677"/>
      <c r="G2716" s="677"/>
      <c r="H2716" s="897"/>
      <c r="I2716" s="898"/>
      <c r="J2716" s="898"/>
      <c r="K2716" s="899"/>
      <c r="L2716" s="899"/>
      <c r="M2716" s="899"/>
      <c r="N2716" s="899"/>
      <c r="O2716" s="899"/>
      <c r="P2716" s="899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96"/>
      <c r="E2717" s="677"/>
      <c r="F2717" s="677"/>
      <c r="G2717" s="677"/>
      <c r="H2717" s="897"/>
      <c r="I2717" s="898"/>
      <c r="J2717" s="898"/>
      <c r="K2717" s="899"/>
      <c r="L2717" s="899"/>
      <c r="M2717" s="899"/>
      <c r="N2717" s="899"/>
      <c r="O2717" s="899"/>
      <c r="P2717" s="899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96"/>
      <c r="E2718" s="677"/>
      <c r="F2718" s="677"/>
      <c r="G2718" s="677"/>
      <c r="H2718" s="897"/>
      <c r="I2718" s="898"/>
      <c r="J2718" s="898"/>
      <c r="K2718" s="899"/>
      <c r="L2718" s="899"/>
      <c r="M2718" s="899"/>
      <c r="N2718" s="899"/>
      <c r="O2718" s="899"/>
      <c r="P2718" s="899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96"/>
      <c r="E2719" s="677"/>
      <c r="F2719" s="677"/>
      <c r="G2719" s="677"/>
      <c r="H2719" s="897"/>
      <c r="I2719" s="898"/>
      <c r="J2719" s="898"/>
      <c r="K2719" s="899"/>
      <c r="L2719" s="899"/>
      <c r="M2719" s="899"/>
      <c r="N2719" s="899"/>
      <c r="O2719" s="899"/>
      <c r="P2719" s="899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96"/>
      <c r="E2720" s="677"/>
      <c r="F2720" s="677"/>
      <c r="G2720" s="677"/>
      <c r="H2720" s="897"/>
      <c r="I2720" s="898"/>
      <c r="J2720" s="898"/>
      <c r="K2720" s="899"/>
      <c r="L2720" s="899"/>
      <c r="M2720" s="899"/>
      <c r="N2720" s="899"/>
      <c r="O2720" s="899"/>
      <c r="P2720" s="899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96"/>
      <c r="E2721" s="677"/>
      <c r="F2721" s="677"/>
      <c r="G2721" s="677"/>
      <c r="H2721" s="897"/>
      <c r="I2721" s="898"/>
      <c r="J2721" s="898"/>
      <c r="K2721" s="899"/>
      <c r="L2721" s="899"/>
      <c r="M2721" s="899"/>
      <c r="N2721" s="899"/>
      <c r="O2721" s="899"/>
      <c r="P2721" s="899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96"/>
      <c r="E2722" s="677"/>
      <c r="F2722" s="677"/>
      <c r="G2722" s="677"/>
      <c r="H2722" s="897"/>
      <c r="I2722" s="898"/>
      <c r="J2722" s="898"/>
      <c r="K2722" s="899"/>
      <c r="L2722" s="899"/>
      <c r="M2722" s="899"/>
      <c r="N2722" s="899"/>
      <c r="O2722" s="899"/>
      <c r="P2722" s="899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96"/>
      <c r="E2723" s="677"/>
      <c r="F2723" s="677"/>
      <c r="G2723" s="677"/>
      <c r="H2723" s="897"/>
      <c r="I2723" s="898"/>
      <c r="J2723" s="898"/>
      <c r="K2723" s="899"/>
      <c r="L2723" s="899"/>
      <c r="M2723" s="899"/>
      <c r="N2723" s="899"/>
      <c r="O2723" s="899"/>
      <c r="P2723" s="899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96"/>
      <c r="E2724" s="677"/>
      <c r="F2724" s="677"/>
      <c r="G2724" s="677"/>
      <c r="H2724" s="897"/>
      <c r="I2724" s="898"/>
      <c r="J2724" s="898"/>
      <c r="K2724" s="899"/>
      <c r="L2724" s="899"/>
      <c r="M2724" s="899"/>
      <c r="N2724" s="899"/>
      <c r="O2724" s="899"/>
      <c r="P2724" s="899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96"/>
      <c r="E2725" s="677"/>
      <c r="F2725" s="677"/>
      <c r="G2725" s="677"/>
      <c r="H2725" s="897"/>
      <c r="I2725" s="898"/>
      <c r="J2725" s="898"/>
      <c r="K2725" s="899"/>
      <c r="L2725" s="899"/>
      <c r="M2725" s="899"/>
      <c r="N2725" s="899"/>
      <c r="O2725" s="899"/>
      <c r="P2725" s="899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96"/>
      <c r="E2726" s="677"/>
      <c r="F2726" s="677"/>
      <c r="G2726" s="677"/>
      <c r="H2726" s="897"/>
      <c r="I2726" s="898"/>
      <c r="J2726" s="898"/>
      <c r="K2726" s="899"/>
      <c r="L2726" s="899"/>
      <c r="M2726" s="899"/>
      <c r="N2726" s="899"/>
      <c r="O2726" s="899"/>
      <c r="P2726" s="899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96"/>
      <c r="E2727" s="677"/>
      <c r="F2727" s="677"/>
      <c r="G2727" s="677"/>
      <c r="H2727" s="897"/>
      <c r="I2727" s="898"/>
      <c r="J2727" s="898"/>
      <c r="K2727" s="899"/>
      <c r="L2727" s="899"/>
      <c r="M2727" s="899"/>
      <c r="N2727" s="899"/>
      <c r="O2727" s="899"/>
      <c r="P2727" s="899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96"/>
      <c r="E2728" s="677"/>
      <c r="F2728" s="677"/>
      <c r="G2728" s="677"/>
      <c r="H2728" s="897"/>
      <c r="I2728" s="898"/>
      <c r="J2728" s="898"/>
      <c r="K2728" s="899"/>
      <c r="L2728" s="899"/>
      <c r="M2728" s="899"/>
      <c r="N2728" s="899"/>
      <c r="O2728" s="899"/>
      <c r="P2728" s="899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96"/>
      <c r="E2729" s="677"/>
      <c r="F2729" s="677"/>
      <c r="G2729" s="677"/>
      <c r="H2729" s="897"/>
      <c r="I2729" s="898"/>
      <c r="J2729" s="898"/>
      <c r="K2729" s="899"/>
      <c r="L2729" s="899"/>
      <c r="M2729" s="899"/>
      <c r="N2729" s="899"/>
      <c r="O2729" s="899"/>
      <c r="P2729" s="899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96"/>
      <c r="E2730" s="677"/>
      <c r="F2730" s="677"/>
      <c r="G2730" s="677"/>
      <c r="H2730" s="897"/>
      <c r="I2730" s="898"/>
      <c r="J2730" s="898"/>
      <c r="K2730" s="899"/>
      <c r="L2730" s="899"/>
      <c r="M2730" s="899"/>
      <c r="N2730" s="899"/>
      <c r="O2730" s="899"/>
      <c r="P2730" s="899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96"/>
      <c r="E2731" s="677"/>
      <c r="F2731" s="677"/>
      <c r="G2731" s="677"/>
      <c r="H2731" s="897"/>
      <c r="I2731" s="898"/>
      <c r="J2731" s="898"/>
      <c r="K2731" s="899"/>
      <c r="L2731" s="899"/>
      <c r="M2731" s="899"/>
      <c r="N2731" s="899"/>
      <c r="O2731" s="899"/>
      <c r="P2731" s="899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96"/>
      <c r="E2732" s="677"/>
      <c r="F2732" s="677"/>
      <c r="G2732" s="677"/>
      <c r="H2732" s="897"/>
      <c r="I2732" s="898"/>
      <c r="J2732" s="898"/>
      <c r="K2732" s="899"/>
      <c r="L2732" s="899"/>
      <c r="M2732" s="899"/>
      <c r="N2732" s="899"/>
      <c r="O2732" s="899"/>
      <c r="P2732" s="899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96"/>
      <c r="E2733" s="677"/>
      <c r="F2733" s="677"/>
      <c r="G2733" s="677"/>
      <c r="H2733" s="897"/>
      <c r="I2733" s="898"/>
      <c r="J2733" s="898"/>
      <c r="K2733" s="899"/>
      <c r="L2733" s="899"/>
      <c r="M2733" s="899"/>
      <c r="N2733" s="899"/>
      <c r="O2733" s="899"/>
      <c r="P2733" s="899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96"/>
      <c r="E2734" s="677"/>
      <c r="F2734" s="677"/>
      <c r="G2734" s="677"/>
      <c r="H2734" s="897"/>
      <c r="I2734" s="898"/>
      <c r="J2734" s="898"/>
      <c r="K2734" s="899"/>
      <c r="L2734" s="899"/>
      <c r="M2734" s="899"/>
      <c r="N2734" s="899"/>
      <c r="O2734" s="899"/>
      <c r="P2734" s="899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96"/>
      <c r="E2735" s="677"/>
      <c r="F2735" s="677"/>
      <c r="G2735" s="677"/>
      <c r="H2735" s="897"/>
      <c r="I2735" s="898"/>
      <c r="J2735" s="898"/>
      <c r="K2735" s="899"/>
      <c r="L2735" s="899"/>
      <c r="M2735" s="899"/>
      <c r="N2735" s="899"/>
      <c r="O2735" s="899"/>
      <c r="P2735" s="899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96"/>
      <c r="E2736" s="677"/>
      <c r="F2736" s="677"/>
      <c r="G2736" s="677"/>
      <c r="H2736" s="897"/>
      <c r="I2736" s="898"/>
      <c r="J2736" s="898"/>
      <c r="K2736" s="899"/>
      <c r="L2736" s="899"/>
      <c r="M2736" s="899"/>
      <c r="N2736" s="899"/>
      <c r="O2736" s="899"/>
      <c r="P2736" s="899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96"/>
      <c r="E2737" s="677"/>
      <c r="F2737" s="677"/>
      <c r="G2737" s="677"/>
      <c r="H2737" s="897"/>
      <c r="I2737" s="898"/>
      <c r="J2737" s="898"/>
      <c r="K2737" s="899"/>
      <c r="L2737" s="899"/>
      <c r="M2737" s="899"/>
      <c r="N2737" s="899"/>
      <c r="O2737" s="899"/>
      <c r="P2737" s="899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96"/>
      <c r="E2738" s="677"/>
      <c r="F2738" s="677"/>
      <c r="G2738" s="677"/>
      <c r="H2738" s="897"/>
      <c r="I2738" s="898"/>
      <c r="J2738" s="898"/>
      <c r="K2738" s="899"/>
      <c r="L2738" s="899"/>
      <c r="M2738" s="899"/>
      <c r="N2738" s="899"/>
      <c r="O2738" s="899"/>
      <c r="P2738" s="899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96"/>
      <c r="E2739" s="677"/>
      <c r="F2739" s="677"/>
      <c r="G2739" s="677"/>
      <c r="H2739" s="897"/>
      <c r="I2739" s="898"/>
      <c r="J2739" s="898"/>
      <c r="K2739" s="899"/>
      <c r="L2739" s="899"/>
      <c r="M2739" s="899"/>
      <c r="N2739" s="899"/>
      <c r="O2739" s="899"/>
      <c r="P2739" s="899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96"/>
      <c r="E2740" s="677"/>
      <c r="F2740" s="677"/>
      <c r="G2740" s="677"/>
      <c r="H2740" s="897"/>
      <c r="I2740" s="898"/>
      <c r="J2740" s="898"/>
      <c r="K2740" s="899"/>
      <c r="L2740" s="899"/>
      <c r="M2740" s="899"/>
      <c r="N2740" s="899"/>
      <c r="O2740" s="899"/>
      <c r="P2740" s="899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96"/>
      <c r="E2741" s="677"/>
      <c r="F2741" s="677"/>
      <c r="G2741" s="677"/>
      <c r="H2741" s="897"/>
      <c r="I2741" s="898"/>
      <c r="J2741" s="898"/>
      <c r="K2741" s="899"/>
      <c r="L2741" s="899"/>
      <c r="M2741" s="899"/>
      <c r="N2741" s="899"/>
      <c r="O2741" s="899"/>
      <c r="P2741" s="899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96"/>
      <c r="E2742" s="677"/>
      <c r="F2742" s="677"/>
      <c r="G2742" s="677"/>
      <c r="H2742" s="897"/>
      <c r="I2742" s="898"/>
      <c r="J2742" s="898"/>
      <c r="K2742" s="899"/>
      <c r="L2742" s="899"/>
      <c r="M2742" s="899"/>
      <c r="N2742" s="899"/>
      <c r="O2742" s="899"/>
      <c r="P2742" s="899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96"/>
      <c r="E2743" s="677"/>
      <c r="F2743" s="677"/>
      <c r="G2743" s="677"/>
      <c r="H2743" s="897"/>
      <c r="I2743" s="898"/>
      <c r="J2743" s="898"/>
      <c r="K2743" s="899"/>
      <c r="L2743" s="899"/>
      <c r="M2743" s="899"/>
      <c r="N2743" s="899"/>
      <c r="O2743" s="899"/>
      <c r="P2743" s="899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96"/>
      <c r="E2744" s="677"/>
      <c r="F2744" s="677"/>
      <c r="G2744" s="677"/>
      <c r="H2744" s="897"/>
      <c r="I2744" s="898"/>
      <c r="J2744" s="898"/>
      <c r="K2744" s="899"/>
      <c r="L2744" s="899"/>
      <c r="M2744" s="899"/>
      <c r="N2744" s="899"/>
      <c r="O2744" s="899"/>
      <c r="P2744" s="899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96"/>
      <c r="E2745" s="677"/>
      <c r="F2745" s="677"/>
      <c r="G2745" s="677"/>
      <c r="H2745" s="897"/>
      <c r="I2745" s="898"/>
      <c r="J2745" s="898"/>
      <c r="K2745" s="899"/>
      <c r="L2745" s="899"/>
      <c r="M2745" s="899"/>
      <c r="N2745" s="899"/>
      <c r="O2745" s="899"/>
      <c r="P2745" s="899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96"/>
      <c r="E2746" s="677"/>
      <c r="F2746" s="677"/>
      <c r="G2746" s="677"/>
      <c r="H2746" s="897"/>
      <c r="I2746" s="898"/>
      <c r="J2746" s="898"/>
      <c r="K2746" s="899"/>
      <c r="L2746" s="899"/>
      <c r="M2746" s="899"/>
      <c r="N2746" s="899"/>
      <c r="O2746" s="899"/>
      <c r="P2746" s="899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96"/>
      <c r="E2747" s="677"/>
      <c r="F2747" s="677"/>
      <c r="G2747" s="677"/>
      <c r="H2747" s="897"/>
      <c r="I2747" s="898"/>
      <c r="J2747" s="898"/>
      <c r="K2747" s="899"/>
      <c r="L2747" s="899"/>
      <c r="M2747" s="899"/>
      <c r="N2747" s="899"/>
      <c r="O2747" s="899"/>
      <c r="P2747" s="899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96"/>
      <c r="E2748" s="677"/>
      <c r="F2748" s="677"/>
      <c r="G2748" s="677"/>
      <c r="H2748" s="897"/>
      <c r="I2748" s="898"/>
      <c r="J2748" s="898"/>
      <c r="K2748" s="899"/>
      <c r="L2748" s="899"/>
      <c r="M2748" s="899"/>
      <c r="N2748" s="899"/>
      <c r="O2748" s="899"/>
      <c r="P2748" s="899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96"/>
      <c r="E2749" s="677"/>
      <c r="F2749" s="677"/>
      <c r="G2749" s="677"/>
      <c r="H2749" s="897"/>
      <c r="I2749" s="898"/>
      <c r="J2749" s="898"/>
      <c r="K2749" s="899"/>
      <c r="L2749" s="899"/>
      <c r="M2749" s="899"/>
      <c r="N2749" s="899"/>
      <c r="O2749" s="899"/>
      <c r="P2749" s="899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96"/>
      <c r="E2750" s="677"/>
      <c r="F2750" s="677"/>
      <c r="G2750" s="677"/>
      <c r="H2750" s="897"/>
      <c r="I2750" s="898"/>
      <c r="J2750" s="898"/>
      <c r="K2750" s="899"/>
      <c r="L2750" s="899"/>
      <c r="M2750" s="899"/>
      <c r="N2750" s="899"/>
      <c r="O2750" s="899"/>
      <c r="P2750" s="899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96"/>
      <c r="E2751" s="677"/>
      <c r="F2751" s="677"/>
      <c r="G2751" s="677"/>
      <c r="H2751" s="897"/>
      <c r="I2751" s="898"/>
      <c r="J2751" s="898"/>
      <c r="K2751" s="899"/>
      <c r="L2751" s="899"/>
      <c r="M2751" s="899"/>
      <c r="N2751" s="899"/>
      <c r="O2751" s="899"/>
      <c r="P2751" s="899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96"/>
      <c r="E2752" s="677"/>
      <c r="F2752" s="677"/>
      <c r="G2752" s="677"/>
      <c r="H2752" s="897"/>
      <c r="I2752" s="898"/>
      <c r="J2752" s="898"/>
      <c r="K2752" s="899"/>
      <c r="L2752" s="899"/>
      <c r="M2752" s="899"/>
      <c r="N2752" s="899"/>
      <c r="O2752" s="899"/>
      <c r="P2752" s="899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96"/>
      <c r="E2753" s="677"/>
      <c r="F2753" s="677"/>
      <c r="G2753" s="677"/>
      <c r="H2753" s="897"/>
      <c r="I2753" s="898"/>
      <c r="J2753" s="898"/>
      <c r="K2753" s="899"/>
      <c r="L2753" s="899"/>
      <c r="M2753" s="899"/>
      <c r="N2753" s="899"/>
      <c r="O2753" s="899"/>
      <c r="P2753" s="899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96"/>
      <c r="E2754" s="677"/>
      <c r="F2754" s="677"/>
      <c r="G2754" s="677"/>
      <c r="H2754" s="897"/>
      <c r="I2754" s="898"/>
      <c r="J2754" s="898"/>
      <c r="K2754" s="899"/>
      <c r="L2754" s="899"/>
      <c r="M2754" s="899"/>
      <c r="N2754" s="899"/>
      <c r="O2754" s="899"/>
      <c r="P2754" s="899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96"/>
      <c r="E2755" s="677"/>
      <c r="F2755" s="677"/>
      <c r="G2755" s="677"/>
      <c r="H2755" s="897"/>
      <c r="I2755" s="898"/>
      <c r="J2755" s="898"/>
      <c r="K2755" s="899"/>
      <c r="L2755" s="899"/>
      <c r="M2755" s="899"/>
      <c r="N2755" s="899"/>
      <c r="O2755" s="899"/>
      <c r="P2755" s="899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96"/>
      <c r="E2756" s="677"/>
      <c r="F2756" s="677"/>
      <c r="G2756" s="677"/>
      <c r="H2756" s="897"/>
      <c r="I2756" s="898"/>
      <c r="J2756" s="898"/>
      <c r="K2756" s="899"/>
      <c r="L2756" s="899"/>
      <c r="M2756" s="899"/>
      <c r="N2756" s="899"/>
      <c r="O2756" s="899"/>
      <c r="P2756" s="899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96"/>
      <c r="E2757" s="677"/>
      <c r="F2757" s="677"/>
      <c r="G2757" s="677"/>
      <c r="H2757" s="897"/>
      <c r="I2757" s="898"/>
      <c r="J2757" s="898"/>
      <c r="K2757" s="899"/>
      <c r="L2757" s="899"/>
      <c r="M2757" s="899"/>
      <c r="N2757" s="899"/>
      <c r="O2757" s="899"/>
      <c r="P2757" s="899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96"/>
      <c r="E2758" s="677"/>
      <c r="F2758" s="677"/>
      <c r="G2758" s="677"/>
      <c r="H2758" s="897"/>
      <c r="I2758" s="898"/>
      <c r="J2758" s="898"/>
      <c r="K2758" s="899"/>
      <c r="L2758" s="899"/>
      <c r="M2758" s="899"/>
      <c r="N2758" s="899"/>
      <c r="O2758" s="899"/>
      <c r="P2758" s="899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96"/>
      <c r="E2759" s="677"/>
      <c r="F2759" s="677"/>
      <c r="G2759" s="677"/>
      <c r="H2759" s="897"/>
      <c r="I2759" s="898"/>
      <c r="J2759" s="898"/>
      <c r="K2759" s="899"/>
      <c r="L2759" s="899"/>
      <c r="M2759" s="899"/>
      <c r="N2759" s="899"/>
      <c r="O2759" s="899"/>
      <c r="P2759" s="899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96"/>
      <c r="E2760" s="677"/>
      <c r="F2760" s="677"/>
      <c r="G2760" s="677"/>
      <c r="H2760" s="897"/>
      <c r="I2760" s="898"/>
      <c r="J2760" s="898"/>
      <c r="K2760" s="899"/>
      <c r="L2760" s="899"/>
      <c r="M2760" s="899"/>
      <c r="N2760" s="899"/>
      <c r="O2760" s="899"/>
      <c r="P2760" s="899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96"/>
      <c r="E2761" s="677"/>
      <c r="F2761" s="677"/>
      <c r="G2761" s="677"/>
      <c r="H2761" s="897"/>
      <c r="I2761" s="898"/>
      <c r="J2761" s="898"/>
      <c r="K2761" s="899"/>
      <c r="L2761" s="899"/>
      <c r="M2761" s="899"/>
      <c r="N2761" s="899"/>
      <c r="O2761" s="899"/>
      <c r="P2761" s="899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96"/>
      <c r="E2762" s="677"/>
      <c r="F2762" s="677"/>
      <c r="G2762" s="677"/>
      <c r="H2762" s="897"/>
      <c r="I2762" s="898"/>
      <c r="J2762" s="898"/>
      <c r="K2762" s="899"/>
      <c r="L2762" s="899"/>
      <c r="M2762" s="899"/>
      <c r="N2762" s="899"/>
      <c r="O2762" s="899"/>
      <c r="P2762" s="899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96"/>
      <c r="E2763" s="677"/>
      <c r="F2763" s="677"/>
      <c r="G2763" s="677"/>
      <c r="H2763" s="897"/>
      <c r="I2763" s="898"/>
      <c r="J2763" s="898"/>
      <c r="K2763" s="899"/>
      <c r="L2763" s="899"/>
      <c r="M2763" s="899"/>
      <c r="N2763" s="899"/>
      <c r="O2763" s="899"/>
      <c r="P2763" s="899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96"/>
      <c r="E2764" s="677"/>
      <c r="F2764" s="677"/>
      <c r="G2764" s="677"/>
      <c r="H2764" s="897"/>
      <c r="I2764" s="898"/>
      <c r="J2764" s="898"/>
      <c r="K2764" s="899"/>
      <c r="L2764" s="899"/>
      <c r="M2764" s="899"/>
      <c r="N2764" s="899"/>
      <c r="O2764" s="899"/>
      <c r="P2764" s="899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96"/>
      <c r="E2765" s="677"/>
      <c r="F2765" s="677"/>
      <c r="G2765" s="677"/>
      <c r="H2765" s="897"/>
      <c r="I2765" s="898"/>
      <c r="J2765" s="898"/>
      <c r="K2765" s="899"/>
      <c r="L2765" s="899"/>
      <c r="M2765" s="899"/>
      <c r="N2765" s="899"/>
      <c r="O2765" s="899"/>
      <c r="P2765" s="899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96"/>
      <c r="E2766" s="677"/>
      <c r="F2766" s="677"/>
      <c r="G2766" s="677"/>
      <c r="H2766" s="897"/>
      <c r="I2766" s="898"/>
      <c r="J2766" s="898"/>
      <c r="K2766" s="899"/>
      <c r="L2766" s="899"/>
      <c r="M2766" s="899"/>
      <c r="N2766" s="899"/>
      <c r="O2766" s="899"/>
      <c r="P2766" s="899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96"/>
      <c r="E2767" s="677"/>
      <c r="F2767" s="677"/>
      <c r="G2767" s="677"/>
      <c r="H2767" s="897"/>
      <c r="I2767" s="898"/>
      <c r="J2767" s="898"/>
      <c r="K2767" s="899"/>
      <c r="L2767" s="899"/>
      <c r="M2767" s="899"/>
      <c r="N2767" s="899"/>
      <c r="O2767" s="899"/>
      <c r="P2767" s="899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96"/>
      <c r="E2768" s="677"/>
      <c r="F2768" s="677"/>
      <c r="G2768" s="677"/>
      <c r="H2768" s="897"/>
      <c r="I2768" s="898"/>
      <c r="J2768" s="898"/>
      <c r="K2768" s="899"/>
      <c r="L2768" s="899"/>
      <c r="M2768" s="899"/>
      <c r="N2768" s="899"/>
      <c r="O2768" s="899"/>
      <c r="P2768" s="899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96"/>
      <c r="E2769" s="677"/>
      <c r="F2769" s="677"/>
      <c r="G2769" s="677"/>
      <c r="H2769" s="897"/>
      <c r="I2769" s="898"/>
      <c r="J2769" s="898"/>
      <c r="K2769" s="899"/>
      <c r="L2769" s="899"/>
      <c r="M2769" s="899"/>
      <c r="N2769" s="899"/>
      <c r="O2769" s="899"/>
      <c r="P2769" s="899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96"/>
      <c r="E2770" s="677"/>
      <c r="F2770" s="677"/>
      <c r="G2770" s="677"/>
      <c r="H2770" s="897"/>
      <c r="I2770" s="898"/>
      <c r="J2770" s="898"/>
      <c r="K2770" s="899"/>
      <c r="L2770" s="899"/>
      <c r="M2770" s="899"/>
      <c r="N2770" s="899"/>
      <c r="O2770" s="899"/>
      <c r="P2770" s="899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96"/>
      <c r="E2771" s="677"/>
      <c r="F2771" s="677"/>
      <c r="G2771" s="677"/>
      <c r="H2771" s="897"/>
      <c r="I2771" s="898"/>
      <c r="J2771" s="898"/>
      <c r="K2771" s="899"/>
      <c r="L2771" s="899"/>
      <c r="M2771" s="899"/>
      <c r="N2771" s="899"/>
      <c r="O2771" s="899"/>
      <c r="P2771" s="899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96"/>
      <c r="E2772" s="677"/>
      <c r="F2772" s="677"/>
      <c r="G2772" s="677"/>
      <c r="H2772" s="897"/>
      <c r="I2772" s="898"/>
      <c r="J2772" s="898"/>
      <c r="K2772" s="899"/>
      <c r="L2772" s="899"/>
      <c r="M2772" s="899"/>
      <c r="N2772" s="899"/>
      <c r="O2772" s="899"/>
      <c r="P2772" s="899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96"/>
      <c r="E2773" s="677"/>
      <c r="F2773" s="677"/>
      <c r="G2773" s="677"/>
      <c r="H2773" s="897"/>
      <c r="I2773" s="898"/>
      <c r="J2773" s="898"/>
      <c r="K2773" s="899"/>
      <c r="L2773" s="899"/>
      <c r="M2773" s="899"/>
      <c r="N2773" s="899"/>
      <c r="O2773" s="899"/>
      <c r="P2773" s="899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96"/>
      <c r="E2774" s="677"/>
      <c r="F2774" s="677"/>
      <c r="G2774" s="677"/>
      <c r="H2774" s="897"/>
      <c r="I2774" s="898"/>
      <c r="J2774" s="898"/>
      <c r="K2774" s="899"/>
      <c r="L2774" s="899"/>
      <c r="M2774" s="899"/>
      <c r="N2774" s="899"/>
      <c r="O2774" s="899"/>
      <c r="P2774" s="899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96"/>
      <c r="E2775" s="677"/>
      <c r="F2775" s="677"/>
      <c r="G2775" s="677"/>
      <c r="H2775" s="897"/>
      <c r="I2775" s="898"/>
      <c r="J2775" s="898"/>
      <c r="K2775" s="899"/>
      <c r="L2775" s="899"/>
      <c r="M2775" s="899"/>
      <c r="N2775" s="899"/>
      <c r="O2775" s="899"/>
      <c r="P2775" s="899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96"/>
      <c r="E2776" s="677"/>
      <c r="F2776" s="677"/>
      <c r="G2776" s="677"/>
      <c r="H2776" s="897"/>
      <c r="I2776" s="898"/>
      <c r="J2776" s="898"/>
      <c r="K2776" s="899"/>
      <c r="L2776" s="899"/>
      <c r="M2776" s="899"/>
      <c r="N2776" s="899"/>
      <c r="O2776" s="899"/>
      <c r="P2776" s="899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96"/>
      <c r="E2777" s="677"/>
      <c r="F2777" s="677"/>
      <c r="G2777" s="677"/>
      <c r="H2777" s="897"/>
      <c r="I2777" s="898"/>
      <c r="J2777" s="898"/>
      <c r="K2777" s="899"/>
      <c r="L2777" s="899"/>
      <c r="M2777" s="899"/>
      <c r="N2777" s="899"/>
      <c r="O2777" s="899"/>
      <c r="P2777" s="899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96"/>
      <c r="E2778" s="677"/>
      <c r="F2778" s="677"/>
      <c r="G2778" s="677"/>
      <c r="H2778" s="897"/>
      <c r="I2778" s="898"/>
      <c r="J2778" s="898"/>
      <c r="K2778" s="899"/>
      <c r="L2778" s="899"/>
      <c r="M2778" s="899"/>
      <c r="N2778" s="899"/>
      <c r="O2778" s="899"/>
      <c r="P2778" s="899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96"/>
      <c r="E2779" s="677"/>
      <c r="F2779" s="677"/>
      <c r="G2779" s="677"/>
      <c r="H2779" s="897"/>
      <c r="I2779" s="898"/>
      <c r="J2779" s="898"/>
      <c r="K2779" s="899"/>
      <c r="L2779" s="899"/>
      <c r="M2779" s="899"/>
      <c r="N2779" s="899"/>
      <c r="O2779" s="899"/>
      <c r="P2779" s="899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96"/>
      <c r="E2780" s="677"/>
      <c r="F2780" s="677"/>
      <c r="G2780" s="677"/>
      <c r="H2780" s="897"/>
      <c r="I2780" s="898"/>
      <c r="J2780" s="898"/>
      <c r="K2780" s="899"/>
      <c r="L2780" s="899"/>
      <c r="M2780" s="899"/>
      <c r="N2780" s="899"/>
      <c r="O2780" s="899"/>
      <c r="P2780" s="899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96"/>
      <c r="E2781" s="677"/>
      <c r="F2781" s="677"/>
      <c r="G2781" s="677"/>
      <c r="H2781" s="897"/>
      <c r="I2781" s="898"/>
      <c r="J2781" s="898"/>
      <c r="K2781" s="899"/>
      <c r="L2781" s="899"/>
      <c r="M2781" s="899"/>
      <c r="N2781" s="899"/>
      <c r="O2781" s="899"/>
      <c r="P2781" s="899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96"/>
      <c r="E2782" s="677"/>
      <c r="F2782" s="677"/>
      <c r="G2782" s="677"/>
      <c r="H2782" s="897"/>
      <c r="I2782" s="898"/>
      <c r="J2782" s="898"/>
      <c r="K2782" s="899"/>
      <c r="L2782" s="899"/>
      <c r="M2782" s="899"/>
      <c r="N2782" s="899"/>
      <c r="O2782" s="899"/>
      <c r="P2782" s="899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96"/>
      <c r="E2783" s="677"/>
      <c r="F2783" s="677"/>
      <c r="G2783" s="677"/>
      <c r="H2783" s="897"/>
      <c r="I2783" s="898"/>
      <c r="J2783" s="898"/>
      <c r="K2783" s="899"/>
      <c r="L2783" s="899"/>
      <c r="M2783" s="899"/>
      <c r="N2783" s="899"/>
      <c r="O2783" s="899"/>
      <c r="P2783" s="899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96"/>
      <c r="E2784" s="677"/>
      <c r="F2784" s="677"/>
      <c r="G2784" s="677"/>
      <c r="H2784" s="897"/>
      <c r="I2784" s="898"/>
      <c r="J2784" s="898"/>
      <c r="K2784" s="899"/>
      <c r="L2784" s="899"/>
      <c r="M2784" s="899"/>
      <c r="N2784" s="899"/>
      <c r="O2784" s="899"/>
      <c r="P2784" s="899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96"/>
      <c r="E2785" s="677"/>
      <c r="F2785" s="677"/>
      <c r="G2785" s="677"/>
      <c r="H2785" s="897"/>
      <c r="I2785" s="898"/>
      <c r="J2785" s="898"/>
      <c r="K2785" s="899"/>
      <c r="L2785" s="899"/>
      <c r="M2785" s="899"/>
      <c r="N2785" s="899"/>
      <c r="O2785" s="899"/>
      <c r="P2785" s="899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96"/>
      <c r="E2786" s="677"/>
      <c r="F2786" s="677"/>
      <c r="G2786" s="677"/>
      <c r="H2786" s="897"/>
      <c r="I2786" s="898"/>
      <c r="J2786" s="898"/>
      <c r="K2786" s="899"/>
      <c r="L2786" s="899"/>
      <c r="M2786" s="899"/>
      <c r="N2786" s="899"/>
      <c r="O2786" s="899"/>
      <c r="P2786" s="899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96"/>
      <c r="E2787" s="677"/>
      <c r="F2787" s="677"/>
      <c r="G2787" s="677"/>
      <c r="H2787" s="897"/>
      <c r="I2787" s="898"/>
      <c r="J2787" s="898"/>
      <c r="K2787" s="899"/>
      <c r="L2787" s="899"/>
      <c r="M2787" s="899"/>
      <c r="N2787" s="899"/>
      <c r="O2787" s="899"/>
      <c r="P2787" s="899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96"/>
      <c r="E2788" s="677"/>
      <c r="F2788" s="677"/>
      <c r="G2788" s="677"/>
      <c r="H2788" s="897"/>
      <c r="I2788" s="898"/>
      <c r="J2788" s="898"/>
      <c r="K2788" s="899"/>
      <c r="L2788" s="899"/>
      <c r="M2788" s="899"/>
      <c r="N2788" s="899"/>
      <c r="O2788" s="899"/>
      <c r="P2788" s="899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96"/>
      <c r="E2789" s="677"/>
      <c r="F2789" s="677"/>
      <c r="G2789" s="677"/>
      <c r="H2789" s="897"/>
      <c r="I2789" s="898"/>
      <c r="J2789" s="898"/>
      <c r="K2789" s="899"/>
      <c r="L2789" s="899"/>
      <c r="M2789" s="899"/>
      <c r="N2789" s="899"/>
      <c r="O2789" s="899"/>
      <c r="P2789" s="899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96"/>
      <c r="E2790" s="677"/>
      <c r="F2790" s="677"/>
      <c r="G2790" s="677"/>
      <c r="H2790" s="897"/>
      <c r="I2790" s="898"/>
      <c r="J2790" s="898"/>
      <c r="K2790" s="899"/>
      <c r="L2790" s="899"/>
      <c r="M2790" s="899"/>
      <c r="N2790" s="899"/>
      <c r="O2790" s="899"/>
      <c r="P2790" s="899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96"/>
      <c r="E2791" s="677"/>
      <c r="F2791" s="677"/>
      <c r="G2791" s="677"/>
      <c r="H2791" s="897"/>
      <c r="I2791" s="898"/>
      <c r="J2791" s="898"/>
      <c r="K2791" s="899"/>
      <c r="L2791" s="899"/>
      <c r="M2791" s="899"/>
      <c r="N2791" s="899"/>
      <c r="O2791" s="899"/>
      <c r="P2791" s="899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96"/>
      <c r="E2792" s="677"/>
      <c r="F2792" s="677"/>
      <c r="G2792" s="677"/>
      <c r="H2792" s="897"/>
      <c r="I2792" s="898"/>
      <c r="J2792" s="898"/>
      <c r="K2792" s="899"/>
      <c r="L2792" s="899"/>
      <c r="M2792" s="899"/>
      <c r="N2792" s="899"/>
      <c r="O2792" s="899"/>
      <c r="P2792" s="899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96"/>
      <c r="E2793" s="677"/>
      <c r="F2793" s="677"/>
      <c r="G2793" s="677"/>
      <c r="H2793" s="897"/>
      <c r="I2793" s="898"/>
      <c r="J2793" s="898"/>
      <c r="K2793" s="899"/>
      <c r="L2793" s="899"/>
      <c r="M2793" s="899"/>
      <c r="N2793" s="899"/>
      <c r="O2793" s="899"/>
      <c r="P2793" s="899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96"/>
      <c r="E2794" s="677"/>
      <c r="F2794" s="677"/>
      <c r="G2794" s="677"/>
      <c r="H2794" s="897"/>
      <c r="I2794" s="898"/>
      <c r="J2794" s="898"/>
      <c r="K2794" s="899"/>
      <c r="L2794" s="899"/>
      <c r="M2794" s="899"/>
      <c r="N2794" s="899"/>
      <c r="O2794" s="899"/>
      <c r="P2794" s="899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96"/>
      <c r="E2795" s="677"/>
      <c r="F2795" s="677"/>
      <c r="G2795" s="677"/>
      <c r="H2795" s="897"/>
      <c r="I2795" s="898"/>
      <c r="J2795" s="898"/>
      <c r="K2795" s="899"/>
      <c r="L2795" s="899"/>
      <c r="M2795" s="899"/>
      <c r="N2795" s="899"/>
      <c r="O2795" s="899"/>
      <c r="P2795" s="899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96"/>
      <c r="E2796" s="677"/>
      <c r="F2796" s="677"/>
      <c r="G2796" s="677"/>
      <c r="H2796" s="897"/>
      <c r="I2796" s="898"/>
      <c r="J2796" s="898"/>
      <c r="K2796" s="899"/>
      <c r="L2796" s="899"/>
      <c r="M2796" s="899"/>
      <c r="N2796" s="899"/>
      <c r="O2796" s="899"/>
      <c r="P2796" s="899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96"/>
      <c r="E2797" s="677"/>
      <c r="F2797" s="677"/>
      <c r="G2797" s="677"/>
      <c r="H2797" s="897"/>
      <c r="I2797" s="898"/>
      <c r="J2797" s="898"/>
      <c r="K2797" s="899"/>
      <c r="L2797" s="899"/>
      <c r="M2797" s="899"/>
      <c r="N2797" s="899"/>
      <c r="O2797" s="899"/>
      <c r="P2797" s="899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96"/>
      <c r="E2798" s="677"/>
      <c r="F2798" s="677"/>
      <c r="G2798" s="677"/>
      <c r="H2798" s="897"/>
      <c r="I2798" s="898"/>
      <c r="J2798" s="898"/>
      <c r="K2798" s="899"/>
      <c r="L2798" s="899"/>
      <c r="M2798" s="899"/>
      <c r="N2798" s="899"/>
      <c r="O2798" s="899"/>
      <c r="P2798" s="899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96"/>
      <c r="E2799" s="677"/>
      <c r="F2799" s="677"/>
      <c r="G2799" s="677"/>
      <c r="H2799" s="897"/>
      <c r="I2799" s="898"/>
      <c r="J2799" s="898"/>
      <c r="K2799" s="899"/>
      <c r="L2799" s="899"/>
      <c r="M2799" s="899"/>
      <c r="N2799" s="899"/>
      <c r="O2799" s="899"/>
      <c r="P2799" s="899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96"/>
      <c r="E2800" s="677"/>
      <c r="F2800" s="677"/>
      <c r="G2800" s="677"/>
      <c r="H2800" s="897"/>
      <c r="I2800" s="898"/>
      <c r="J2800" s="898"/>
      <c r="K2800" s="899"/>
      <c r="L2800" s="899"/>
      <c r="M2800" s="899"/>
      <c r="N2800" s="899"/>
      <c r="O2800" s="899"/>
      <c r="P2800" s="899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96"/>
      <c r="E2801" s="677"/>
      <c r="F2801" s="677"/>
      <c r="G2801" s="677"/>
      <c r="H2801" s="897"/>
      <c r="I2801" s="898"/>
      <c r="J2801" s="898"/>
      <c r="K2801" s="899"/>
      <c r="L2801" s="899"/>
      <c r="M2801" s="899"/>
      <c r="N2801" s="899"/>
      <c r="O2801" s="899"/>
      <c r="P2801" s="899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96"/>
      <c r="E2802" s="677"/>
      <c r="F2802" s="677"/>
      <c r="G2802" s="677"/>
      <c r="H2802" s="897"/>
      <c r="I2802" s="898"/>
      <c r="J2802" s="898"/>
      <c r="K2802" s="899"/>
      <c r="L2802" s="899"/>
      <c r="M2802" s="899"/>
      <c r="N2802" s="899"/>
      <c r="O2802" s="899"/>
      <c r="P2802" s="899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96"/>
      <c r="E2803" s="677"/>
      <c r="F2803" s="677"/>
      <c r="G2803" s="677"/>
      <c r="H2803" s="897"/>
      <c r="I2803" s="898"/>
      <c r="J2803" s="898"/>
      <c r="K2803" s="899"/>
      <c r="L2803" s="899"/>
      <c r="M2803" s="899"/>
      <c r="N2803" s="899"/>
      <c r="O2803" s="899"/>
      <c r="P2803" s="899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96"/>
      <c r="E2804" s="677"/>
      <c r="F2804" s="677"/>
      <c r="G2804" s="677"/>
      <c r="H2804" s="897"/>
      <c r="I2804" s="898"/>
      <c r="J2804" s="898"/>
      <c r="K2804" s="899"/>
      <c r="L2804" s="899"/>
      <c r="M2804" s="899"/>
      <c r="N2804" s="899"/>
      <c r="O2804" s="899"/>
      <c r="P2804" s="899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96"/>
      <c r="E2805" s="677"/>
      <c r="F2805" s="677"/>
      <c r="G2805" s="677"/>
      <c r="H2805" s="897"/>
      <c r="I2805" s="898"/>
      <c r="J2805" s="898"/>
      <c r="K2805" s="899"/>
      <c r="L2805" s="899"/>
      <c r="M2805" s="899"/>
      <c r="N2805" s="899"/>
      <c r="O2805" s="899"/>
      <c r="P2805" s="899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96"/>
      <c r="E2806" s="677"/>
      <c r="F2806" s="677"/>
      <c r="G2806" s="677"/>
      <c r="H2806" s="897"/>
      <c r="I2806" s="898"/>
      <c r="J2806" s="898"/>
      <c r="K2806" s="899"/>
      <c r="L2806" s="899"/>
      <c r="M2806" s="899"/>
      <c r="N2806" s="899"/>
      <c r="O2806" s="899"/>
      <c r="P2806" s="899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96"/>
      <c r="E2807" s="677"/>
      <c r="F2807" s="677"/>
      <c r="G2807" s="677"/>
      <c r="H2807" s="897"/>
      <c r="I2807" s="898"/>
      <c r="J2807" s="898"/>
      <c r="K2807" s="899"/>
      <c r="L2807" s="899"/>
      <c r="M2807" s="899"/>
      <c r="N2807" s="899"/>
      <c r="O2807" s="899"/>
      <c r="P2807" s="899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96"/>
      <c r="E2808" s="677"/>
      <c r="F2808" s="677"/>
      <c r="G2808" s="677"/>
      <c r="H2808" s="897"/>
      <c r="I2808" s="898"/>
      <c r="J2808" s="898"/>
      <c r="K2808" s="899"/>
      <c r="L2808" s="899"/>
      <c r="M2808" s="899"/>
      <c r="N2808" s="899"/>
      <c r="O2808" s="899"/>
      <c r="P2808" s="899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96"/>
      <c r="E2809" s="677"/>
      <c r="F2809" s="677"/>
      <c r="G2809" s="677"/>
      <c r="H2809" s="897"/>
      <c r="I2809" s="898"/>
      <c r="J2809" s="898"/>
      <c r="K2809" s="899"/>
      <c r="L2809" s="899"/>
      <c r="M2809" s="899"/>
      <c r="N2809" s="899"/>
      <c r="O2809" s="899"/>
      <c r="P2809" s="899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96"/>
      <c r="E2810" s="677"/>
      <c r="F2810" s="677"/>
      <c r="G2810" s="677"/>
      <c r="H2810" s="897"/>
      <c r="I2810" s="898"/>
      <c r="J2810" s="898"/>
      <c r="K2810" s="899"/>
      <c r="L2810" s="899"/>
      <c r="M2810" s="899"/>
      <c r="N2810" s="899"/>
      <c r="O2810" s="899"/>
      <c r="P2810" s="899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96"/>
      <c r="E2811" s="677"/>
      <c r="F2811" s="677"/>
      <c r="G2811" s="677"/>
      <c r="H2811" s="897"/>
      <c r="I2811" s="898"/>
      <c r="J2811" s="898"/>
      <c r="K2811" s="899"/>
      <c r="L2811" s="899"/>
      <c r="M2811" s="899"/>
      <c r="N2811" s="899"/>
      <c r="O2811" s="899"/>
      <c r="P2811" s="899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96"/>
      <c r="E2812" s="677"/>
      <c r="F2812" s="677"/>
      <c r="G2812" s="677"/>
      <c r="H2812" s="897"/>
      <c r="I2812" s="898"/>
      <c r="J2812" s="898"/>
      <c r="K2812" s="899"/>
      <c r="L2812" s="899"/>
      <c r="M2812" s="899"/>
      <c r="N2812" s="899"/>
      <c r="O2812" s="899"/>
      <c r="P2812" s="899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96"/>
      <c r="E2813" s="677"/>
      <c r="F2813" s="677"/>
      <c r="G2813" s="677"/>
      <c r="H2813" s="897"/>
      <c r="I2813" s="898"/>
      <c r="J2813" s="898"/>
      <c r="K2813" s="899"/>
      <c r="L2813" s="899"/>
      <c r="M2813" s="899"/>
      <c r="N2813" s="899"/>
      <c r="O2813" s="899"/>
      <c r="P2813" s="899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96"/>
      <c r="E2814" s="677"/>
      <c r="F2814" s="677"/>
      <c r="G2814" s="677"/>
      <c r="H2814" s="897"/>
      <c r="I2814" s="898"/>
      <c r="J2814" s="898"/>
      <c r="K2814" s="899"/>
      <c r="L2814" s="899"/>
      <c r="M2814" s="899"/>
      <c r="N2814" s="899"/>
      <c r="O2814" s="899"/>
      <c r="P2814" s="899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96"/>
      <c r="E2815" s="677"/>
      <c r="F2815" s="677"/>
      <c r="G2815" s="677"/>
      <c r="H2815" s="897"/>
      <c r="I2815" s="898"/>
      <c r="J2815" s="898"/>
      <c r="K2815" s="899"/>
      <c r="L2815" s="899"/>
      <c r="M2815" s="899"/>
      <c r="N2815" s="899"/>
      <c r="O2815" s="899"/>
      <c r="P2815" s="899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96"/>
      <c r="E2816" s="677"/>
      <c r="F2816" s="677"/>
      <c r="G2816" s="677"/>
      <c r="H2816" s="897"/>
      <c r="I2816" s="898"/>
      <c r="J2816" s="898"/>
      <c r="K2816" s="899"/>
      <c r="L2816" s="899"/>
      <c r="M2816" s="899"/>
      <c r="N2816" s="899"/>
      <c r="O2816" s="899"/>
      <c r="P2816" s="899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96"/>
      <c r="E2817" s="677"/>
      <c r="F2817" s="677"/>
      <c r="G2817" s="677"/>
      <c r="H2817" s="897"/>
      <c r="I2817" s="898"/>
      <c r="J2817" s="898"/>
      <c r="K2817" s="899"/>
      <c r="L2817" s="899"/>
      <c r="M2817" s="899"/>
      <c r="N2817" s="899"/>
      <c r="O2817" s="899"/>
      <c r="P2817" s="899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96"/>
      <c r="E2818" s="677"/>
      <c r="F2818" s="677"/>
      <c r="G2818" s="677"/>
      <c r="H2818" s="897"/>
      <c r="I2818" s="898"/>
      <c r="J2818" s="898"/>
      <c r="K2818" s="899"/>
      <c r="L2818" s="899"/>
      <c r="M2818" s="899"/>
      <c r="N2818" s="899"/>
      <c r="O2818" s="899"/>
      <c r="P2818" s="899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96"/>
      <c r="E2819" s="677"/>
      <c r="F2819" s="677"/>
      <c r="G2819" s="677"/>
      <c r="H2819" s="897"/>
      <c r="I2819" s="898"/>
      <c r="J2819" s="898"/>
      <c r="K2819" s="899"/>
      <c r="L2819" s="899"/>
      <c r="M2819" s="899"/>
      <c r="N2819" s="899"/>
      <c r="O2819" s="899"/>
      <c r="P2819" s="899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96"/>
      <c r="E2820" s="677"/>
      <c r="F2820" s="677"/>
      <c r="G2820" s="677"/>
      <c r="H2820" s="897"/>
      <c r="I2820" s="898"/>
      <c r="J2820" s="898"/>
      <c r="K2820" s="899"/>
      <c r="L2820" s="899"/>
      <c r="M2820" s="899"/>
      <c r="N2820" s="899"/>
      <c r="O2820" s="899"/>
      <c r="P2820" s="899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96"/>
      <c r="E2821" s="677"/>
      <c r="F2821" s="677"/>
      <c r="G2821" s="677"/>
      <c r="H2821" s="897"/>
      <c r="I2821" s="898"/>
      <c r="J2821" s="898"/>
      <c r="K2821" s="899"/>
      <c r="L2821" s="899"/>
      <c r="M2821" s="899"/>
      <c r="N2821" s="899"/>
      <c r="O2821" s="899"/>
      <c r="P2821" s="899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96"/>
      <c r="E2822" s="677"/>
      <c r="F2822" s="677"/>
      <c r="G2822" s="677"/>
      <c r="H2822" s="897"/>
      <c r="I2822" s="898"/>
      <c r="J2822" s="898"/>
      <c r="K2822" s="899"/>
      <c r="L2822" s="899"/>
      <c r="M2822" s="899"/>
      <c r="N2822" s="899"/>
      <c r="O2822" s="899"/>
      <c r="P2822" s="899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96"/>
      <c r="E2823" s="677"/>
      <c r="F2823" s="677"/>
      <c r="G2823" s="677"/>
      <c r="H2823" s="897"/>
      <c r="I2823" s="898"/>
      <c r="J2823" s="898"/>
      <c r="K2823" s="899"/>
      <c r="L2823" s="899"/>
      <c r="M2823" s="899"/>
      <c r="N2823" s="899"/>
      <c r="O2823" s="899"/>
      <c r="P2823" s="899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96"/>
      <c r="E2824" s="677"/>
      <c r="F2824" s="677"/>
      <c r="G2824" s="677"/>
      <c r="H2824" s="897"/>
      <c r="I2824" s="898"/>
      <c r="J2824" s="898"/>
      <c r="K2824" s="899"/>
      <c r="L2824" s="899"/>
      <c r="M2824" s="899"/>
      <c r="N2824" s="899"/>
      <c r="O2824" s="899"/>
      <c r="P2824" s="899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96"/>
      <c r="E2825" s="677"/>
      <c r="F2825" s="677"/>
      <c r="G2825" s="677"/>
      <c r="H2825" s="897"/>
      <c r="I2825" s="898"/>
      <c r="J2825" s="898"/>
      <c r="K2825" s="899"/>
      <c r="L2825" s="899"/>
      <c r="M2825" s="899"/>
      <c r="N2825" s="899"/>
      <c r="O2825" s="899"/>
      <c r="P2825" s="899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96"/>
      <c r="E2826" s="677"/>
      <c r="F2826" s="677"/>
      <c r="G2826" s="677"/>
      <c r="H2826" s="897"/>
      <c r="I2826" s="898"/>
      <c r="J2826" s="898"/>
      <c r="K2826" s="899"/>
      <c r="L2826" s="899"/>
      <c r="M2826" s="899"/>
      <c r="N2826" s="899"/>
      <c r="O2826" s="899"/>
      <c r="P2826" s="899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96"/>
      <c r="E2827" s="677"/>
      <c r="F2827" s="677"/>
      <c r="G2827" s="677"/>
      <c r="H2827" s="897"/>
      <c r="I2827" s="898"/>
      <c r="J2827" s="898"/>
      <c r="K2827" s="899"/>
      <c r="L2827" s="899"/>
      <c r="M2827" s="899"/>
      <c r="N2827" s="899"/>
      <c r="O2827" s="899"/>
      <c r="P2827" s="899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96"/>
      <c r="E2828" s="677"/>
      <c r="F2828" s="677"/>
      <c r="G2828" s="677"/>
      <c r="H2828" s="897"/>
      <c r="I2828" s="898"/>
      <c r="J2828" s="898"/>
      <c r="K2828" s="899"/>
      <c r="L2828" s="899"/>
      <c r="M2828" s="899"/>
      <c r="N2828" s="899"/>
      <c r="O2828" s="899"/>
      <c r="P2828" s="899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A4821-2DE0-43B1-9FA4-5B5F4EAA2232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5732473.8499999996</v>
      </c>
      <c r="N8" s="22">
        <f t="shared" ca="1" si="0"/>
        <v>4996616.9700000007</v>
      </c>
      <c r="O8" s="22">
        <f t="shared" ref="O8:O16" ca="1" si="1">IF(L8&gt;0,N8*100/L8,0)</f>
        <v>73.503722983435466</v>
      </c>
      <c r="P8" s="22">
        <f t="shared" ref="P8:P16" ca="1" si="2">IF(M8&gt;0,N8*100/M8,0)</f>
        <v>87.163362637929893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5732473.8499999996</v>
      </c>
      <c r="N10" s="30">
        <f t="shared" ca="1" si="3"/>
        <v>4996616.9700000007</v>
      </c>
      <c r="O10" s="30">
        <f t="shared" ca="1" si="1"/>
        <v>73.503722983435466</v>
      </c>
      <c r="P10" s="30">
        <f t="shared" ca="1" si="2"/>
        <v>87.163362637929893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2924496.94</v>
      </c>
      <c r="N11" s="497">
        <f t="shared" ca="1" si="4"/>
        <v>2188640.06</v>
      </c>
      <c r="O11" s="497">
        <f t="shared" ca="1" si="1"/>
        <v>62.112444567800537</v>
      </c>
      <c r="P11" s="497">
        <f t="shared" ca="1" si="2"/>
        <v>74.838172338795474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2924496.94</v>
      </c>
      <c r="N13" s="93">
        <f t="shared" ca="1" si="5"/>
        <v>2188640.06</v>
      </c>
      <c r="O13" s="93">
        <f t="shared" ca="1" si="1"/>
        <v>62.112444567800537</v>
      </c>
      <c r="P13" s="93">
        <f t="shared" ca="1" si="2"/>
        <v>74.838172338795474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2807976.91</v>
      </c>
      <c r="N14" s="497">
        <f t="shared" ca="1" si="6"/>
        <v>2807976.91</v>
      </c>
      <c r="O14" s="497">
        <f t="shared" ca="1" si="1"/>
        <v>85.763321523472101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2807976.91</v>
      </c>
      <c r="N16" s="52">
        <f t="shared" ca="1" si="7"/>
        <v>2807976.91</v>
      </c>
      <c r="O16" s="52">
        <f t="shared" ca="1" si="1"/>
        <v>85.763321523472101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5089565.8499999996</v>
      </c>
      <c r="N18" s="22">
        <f t="shared" ca="1" si="8"/>
        <v>4708306.9700000007</v>
      </c>
      <c r="O18" s="22">
        <f t="shared" ref="O18:O26" ca="1" si="9">IF(L18&gt;0,N18*100/L18,0)</f>
        <v>76.497310745676685</v>
      </c>
      <c r="P18" s="22">
        <f t="shared" ref="P18:P26" ca="1" si="10">IF(M18&gt;0,N18*100/M18,0)</f>
        <v>92.509009781256708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5089565.8499999996</v>
      </c>
      <c r="N20" s="30">
        <f t="shared" ca="1" si="11"/>
        <v>4708306.9700000007</v>
      </c>
      <c r="O20" s="30">
        <f t="shared" ca="1" si="9"/>
        <v>76.497310745676685</v>
      </c>
      <c r="P20" s="30">
        <f t="shared" ca="1" si="10"/>
        <v>92.509009781256708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2281588.94</v>
      </c>
      <c r="N21" s="497">
        <f t="shared" ca="1" si="12"/>
        <v>1900330.06</v>
      </c>
      <c r="O21" s="497">
        <f t="shared" ca="1" si="9"/>
        <v>65.966137478712255</v>
      </c>
      <c r="P21" s="497">
        <f t="shared" ca="1" si="10"/>
        <v>83.289764719844754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2281588.94</v>
      </c>
      <c r="N23" s="93">
        <f t="shared" ca="1" si="13"/>
        <v>1900330.06</v>
      </c>
      <c r="O23" s="93">
        <f t="shared" ca="1" si="9"/>
        <v>65.966137478712255</v>
      </c>
      <c r="P23" s="93">
        <f t="shared" ca="1" si="10"/>
        <v>83.289764719844754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2807976.91</v>
      </c>
      <c r="N24" s="497">
        <f t="shared" ca="1" si="14"/>
        <v>2807976.91</v>
      </c>
      <c r="O24" s="497">
        <f t="shared" ca="1" si="9"/>
        <v>85.763321523472101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2807976.91</v>
      </c>
      <c r="N26" s="52">
        <f t="shared" ca="1" si="15"/>
        <v>2807976.91</v>
      </c>
      <c r="O26" s="52">
        <f t="shared" ca="1" si="9"/>
        <v>85.763321523472101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288310</v>
      </c>
      <c r="O28" s="22">
        <f t="shared" ref="O28:O37" ca="1" si="17">IF(L28&gt;0,N28*100/L28,0)</f>
        <v>44.844674510194302</v>
      </c>
      <c r="P28" s="22">
        <f t="shared" ref="P28:P37" ca="1" si="18">IF(M28&gt;0,N28*100/M28,0)</f>
        <v>44.844674510194302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288310</v>
      </c>
      <c r="O30" s="30">
        <f t="shared" ca="1" si="17"/>
        <v>44.844674510194302</v>
      </c>
      <c r="P30" s="30">
        <f t="shared" ca="1" si="18"/>
        <v>44.844674510194302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642908</v>
      </c>
      <c r="N31" s="497">
        <f t="shared" si="20"/>
        <v>288310</v>
      </c>
      <c r="O31" s="497">
        <f t="shared" ca="1" si="17"/>
        <v>44.844674510194302</v>
      </c>
      <c r="P31" s="497">
        <f t="shared" ca="1" si="18"/>
        <v>44.844674510194302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642908</v>
      </c>
      <c r="N33" s="93">
        <f t="shared" si="21"/>
        <v>288310</v>
      </c>
      <c r="O33" s="93">
        <f t="shared" ca="1" si="17"/>
        <v>44.844674510194302</v>
      </c>
      <c r="P33" s="93">
        <f t="shared" ca="1" si="18"/>
        <v>44.844674510194302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5089565.8499999996</v>
      </c>
      <c r="N37" s="59">
        <f t="shared" ca="1" si="24"/>
        <v>4708306.9700000007</v>
      </c>
      <c r="O37" s="59">
        <f t="shared" ca="1" si="17"/>
        <v>76.497310745676685</v>
      </c>
      <c r="P37" s="59">
        <f t="shared" ca="1" si="18"/>
        <v>92.509009781256708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318954.94</v>
      </c>
      <c r="N41" s="85">
        <f t="shared" ca="1" si="25"/>
        <v>196759.35</v>
      </c>
      <c r="O41" s="85">
        <f t="shared" ref="O41:O49" ca="1" si="26">IF(L41&gt;0,N41*100/L41,0)</f>
        <v>63.481816187335859</v>
      </c>
      <c r="P41" s="85">
        <f t="shared" ref="P41:P49" ca="1" si="27">IF(M41&gt;0,N41*100/M41,0)</f>
        <v>61.688760801133853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318954.94</v>
      </c>
      <c r="N43" s="92">
        <f t="shared" ca="1" si="28"/>
        <v>196759.35</v>
      </c>
      <c r="O43" s="92">
        <f t="shared" ca="1" si="26"/>
        <v>63.481816187335859</v>
      </c>
      <c r="P43" s="92">
        <f t="shared" ca="1" si="27"/>
        <v>61.688760801133853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318954.94</v>
      </c>
      <c r="N44" s="497">
        <f t="shared" ca="1" si="29"/>
        <v>196759.35</v>
      </c>
      <c r="O44" s="497">
        <f t="shared" ca="1" si="26"/>
        <v>63.481816187335859</v>
      </c>
      <c r="P44" s="497">
        <f t="shared" ca="1" si="27"/>
        <v>61.688760801133853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IFERROR(__xludf.DUMMYFUNCTION("IMPORTRANGE(""https://docs.google.com/spreadsheets/d/1MeEWN-I1oV_STSDYn1IFDPWt_1FKiwhDph83XaGc0o0/edit?usp=sharing"",""งบพรบ!R57"")"),318954.94)</f>
        <v>318954.94</v>
      </c>
      <c r="N46" s="93">
        <f ca="1">IFERROR(__xludf.DUMMYFUNCTION("IMPORTRANGE(""https://docs.google.com/spreadsheets/d/1MeEWN-I1oV_STSDYn1IFDPWt_1FKiwhDph83XaGc0o0/edit?usp=sharing"",""งบพรบ!T57"")"),196759.35)</f>
        <v>196759.35</v>
      </c>
      <c r="O46" s="93">
        <f t="shared" ca="1" si="26"/>
        <v>63.481816187335859</v>
      </c>
      <c r="P46" s="93">
        <f t="shared" ca="1" si="27"/>
        <v>61.688760801133853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3201201.91</v>
      </c>
      <c r="N53" s="116">
        <f t="shared" ca="1" si="31"/>
        <v>3168666.99</v>
      </c>
      <c r="O53" s="116">
        <f t="shared" ref="O53:O61" ca="1" si="32">IF(L53&gt;0,N53*100/L53,0)</f>
        <v>82.882137270801181</v>
      </c>
      <c r="P53" s="116">
        <f t="shared" ref="P53:P61" ca="1" si="33">IF(M53&gt;0,N53*100/M53,0)</f>
        <v>98.983665482068886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3201201.91</v>
      </c>
      <c r="N55" s="123">
        <f t="shared" ca="1" si="34"/>
        <v>3168666.99</v>
      </c>
      <c r="O55" s="123">
        <f t="shared" ca="1" si="32"/>
        <v>82.882137270801181</v>
      </c>
      <c r="P55" s="123">
        <f t="shared" ca="1" si="33"/>
        <v>98.983665482068886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467325</v>
      </c>
      <c r="N56" s="497">
        <f t="shared" ca="1" si="35"/>
        <v>434790.08</v>
      </c>
      <c r="O56" s="497">
        <f t="shared" ca="1" si="32"/>
        <v>69.778539560263198</v>
      </c>
      <c r="P56" s="497">
        <f t="shared" ca="1" si="33"/>
        <v>93.038052747017602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IFERROR(__xludf.DUMMYFUNCTION("IMPORTRANGE(""https://docs.google.com/spreadsheets/d/1MeEWN-I1oV_STSDYn1IFDPWt_1FKiwhDph83XaGc0o0/edit?usp=sharing"",""งบพรบ!AB57"")"),467325)</f>
        <v>467325</v>
      </c>
      <c r="N58" s="93">
        <f ca="1">IFERROR(__xludf.DUMMYFUNCTION("IMPORTRANGE(""https://docs.google.com/spreadsheets/d/1MeEWN-I1oV_STSDYn1IFDPWt_1FKiwhDph83XaGc0o0/edit?usp=sharing"",""งบพรบ!AD57"")"),434790.08)</f>
        <v>434790.08</v>
      </c>
      <c r="O58" s="93">
        <f t="shared" ca="1" si="32"/>
        <v>69.778539560263198</v>
      </c>
      <c r="P58" s="93">
        <f t="shared" ca="1" si="33"/>
        <v>93.038052747017602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2733876.91</v>
      </c>
      <c r="N59" s="497">
        <f t="shared" ca="1" si="36"/>
        <v>2733876.91</v>
      </c>
      <c r="O59" s="497">
        <f t="shared" ca="1" si="32"/>
        <v>85.433653437499999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IFERROR(__xludf.DUMMYFUNCTION("IMPORTRANGE(""https://docs.google.com/spreadsheets/d/1MeEWN-I1oV_STSDYn1IFDPWt_1FKiwhDph83XaGc0o0/edit?usp=sharing"",""งบพรบ!AC57"")"),2733876.91)</f>
        <v>2733876.91</v>
      </c>
      <c r="N61" s="52">
        <f ca="1">IFERROR(__xludf.DUMMYFUNCTION("IMPORTRANGE(""https://docs.google.com/spreadsheets/d/1MeEWN-I1oV_STSDYn1IFDPWt_1FKiwhDph83XaGc0o0/edit?usp=sharing"",""งบพรบ!AE57"")"),2733876.91)</f>
        <v>2733876.91</v>
      </c>
      <c r="O61" s="52">
        <f t="shared" ca="1" si="32"/>
        <v>85.433653437499999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877510</v>
      </c>
      <c r="N66" s="155">
        <f t="shared" ca="1" si="39"/>
        <v>768762.63</v>
      </c>
      <c r="O66" s="155">
        <f t="shared" ref="O66:O74" ca="1" si="40">IF(L66&gt;0,N66*100/L66,0)</f>
        <v>66.814064835737881</v>
      </c>
      <c r="P66" s="155">
        <f t="shared" ref="P66:P74" ca="1" si="41">IF(M66&gt;0,N66*100/M66,0)</f>
        <v>87.607278549532197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877510</v>
      </c>
      <c r="N68" s="93">
        <f t="shared" ca="1" si="42"/>
        <v>768762.63</v>
      </c>
      <c r="O68" s="93">
        <f t="shared" ca="1" si="40"/>
        <v>66.814064835737881</v>
      </c>
      <c r="P68" s="93">
        <f t="shared" ca="1" si="41"/>
        <v>87.607278549532197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877510</v>
      </c>
      <c r="N69" s="497">
        <f t="shared" ca="1" si="43"/>
        <v>768762.63</v>
      </c>
      <c r="O69" s="497">
        <f t="shared" ca="1" si="40"/>
        <v>66.814064835737881</v>
      </c>
      <c r="P69" s="497">
        <f t="shared" ca="1" si="41"/>
        <v>87.607278549532197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IFERROR(__xludf.DUMMYFUNCTION("IMPORTRANGE(""https://docs.google.com/spreadsheets/d/1MeEWN-I1oV_STSDYn1IFDPWt_1FKiwhDph83XaGc0o0/edit?usp=sharing"",""งบพรบ!AL57"")"),877510)</f>
        <v>877510</v>
      </c>
      <c r="N71" s="93">
        <f ca="1">IFERROR(__xludf.DUMMYFUNCTION("IMPORTRANGE(""https://docs.google.com/spreadsheets/d/1MeEWN-I1oV_STSDYn1IFDPWt_1FKiwhDph83XaGc0o0/edit?usp=sharing"",""งบพรบ!AN57"")"),768762.63)</f>
        <v>768762.63</v>
      </c>
      <c r="O71" s="93">
        <f t="shared" ca="1" si="40"/>
        <v>66.814064835737881</v>
      </c>
      <c r="P71" s="93">
        <f t="shared" ca="1" si="41"/>
        <v>87.607278549532197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95770</v>
      </c>
      <c r="N88" s="155">
        <f t="shared" ca="1" si="49"/>
        <v>93270</v>
      </c>
      <c r="O88" s="155">
        <f t="shared" ref="O88:O96" ca="1" si="50">IF(L88&gt;0,N88*100/L88,0)</f>
        <v>68.470121861694324</v>
      </c>
      <c r="P88" s="155">
        <f t="shared" ref="P88:P96" ca="1" si="51">IF(M88&gt;0,N88*100/M88,0)</f>
        <v>97.389579200167063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95770</v>
      </c>
      <c r="N90" s="93">
        <f t="shared" ca="1" si="52"/>
        <v>93270</v>
      </c>
      <c r="O90" s="93">
        <f t="shared" ca="1" si="50"/>
        <v>68.470121861694324</v>
      </c>
      <c r="P90" s="93">
        <f t="shared" ca="1" si="51"/>
        <v>97.389579200167063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95770</v>
      </c>
      <c r="N91" s="497">
        <f t="shared" ca="1" si="53"/>
        <v>93270</v>
      </c>
      <c r="O91" s="497">
        <f t="shared" ca="1" si="50"/>
        <v>68.470121861694324</v>
      </c>
      <c r="P91" s="497">
        <f t="shared" ca="1" si="51"/>
        <v>97.389579200167063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IFERROR(__xludf.DUMMYFUNCTION("IMPORTRANGE(""https://docs.google.com/spreadsheets/d/1MeEWN-I1oV_STSDYn1IFDPWt_1FKiwhDph83XaGc0o0/edit?usp=sharing"",""งบพรบ!AV57"")"),95770)</f>
        <v>95770</v>
      </c>
      <c r="N93" s="93">
        <f ca="1">IFERROR(__xludf.DUMMYFUNCTION("IMPORTRANGE(""https://docs.google.com/spreadsheets/d/1MeEWN-I1oV_STSDYn1IFDPWt_1FKiwhDph83XaGc0o0/edit?usp=sharing"",""งบพรบ!AX57"")"),93270)</f>
        <v>93270</v>
      </c>
      <c r="O93" s="93">
        <f t="shared" ca="1" si="50"/>
        <v>68.470121861694324</v>
      </c>
      <c r="P93" s="93">
        <f t="shared" ca="1" si="51"/>
        <v>97.389579200167063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2240</v>
      </c>
      <c r="O149" s="155">
        <f t="shared" ref="O149:O157" ca="1" si="78">IF(L149&gt;0,N149*100/L149,0)</f>
        <v>44.8</v>
      </c>
      <c r="P149" s="155">
        <f t="shared" ref="P149:P157" ca="1" si="79">IF(M149&gt;0,N149*100/M149,0)</f>
        <v>44.8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2240</v>
      </c>
      <c r="O151" s="93">
        <f t="shared" ca="1" si="78"/>
        <v>44.8</v>
      </c>
      <c r="P151" s="93">
        <f t="shared" ca="1" si="79"/>
        <v>44.8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2240</v>
      </c>
      <c r="O152" s="497">
        <f t="shared" ca="1" si="78"/>
        <v>44.8</v>
      </c>
      <c r="P152" s="497">
        <f t="shared" ca="1" si="79"/>
        <v>44.8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IFERROR(__xludf.DUMMYFUNCTION("IMPORTRANGE(""https://docs.google.com/spreadsheets/d/1MeEWN-I1oV_STSDYn1IFDPWt_1FKiwhDph83XaGc0o0/edit?usp=sharing"",""งบพรบ!CB57"")"),2240)</f>
        <v>2240</v>
      </c>
      <c r="O154" s="93">
        <f t="shared" ca="1" si="78"/>
        <v>44.8</v>
      </c>
      <c r="P154" s="93">
        <f t="shared" ca="1" si="79"/>
        <v>44.8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30500</v>
      </c>
      <c r="N181" s="155">
        <f t="shared" ca="1" si="92"/>
        <v>22630</v>
      </c>
      <c r="O181" s="155">
        <f t="shared" ref="O181:O189" ca="1" si="93">IF(L181&gt;0,N181*100/L181,0)</f>
        <v>62.686980609418285</v>
      </c>
      <c r="P181" s="155">
        <f t="shared" ref="P181:P189" ca="1" si="94">IF(M181&gt;0,N181*100/M181,0)</f>
        <v>74.196721311475414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30500</v>
      </c>
      <c r="N183" s="93">
        <f t="shared" ca="1" si="95"/>
        <v>22630</v>
      </c>
      <c r="O183" s="93">
        <f t="shared" ca="1" si="93"/>
        <v>62.686980609418285</v>
      </c>
      <c r="P183" s="93">
        <f t="shared" ca="1" si="94"/>
        <v>74.196721311475414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30500</v>
      </c>
      <c r="N184" s="497">
        <f t="shared" ca="1" si="96"/>
        <v>22630</v>
      </c>
      <c r="O184" s="497">
        <f t="shared" ca="1" si="93"/>
        <v>62.686980609418285</v>
      </c>
      <c r="P184" s="497">
        <f t="shared" ca="1" si="94"/>
        <v>74.196721311475414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IFERROR(__xludf.DUMMYFUNCTION("IMPORTRANGE(""https://docs.google.com/spreadsheets/d/1MeEWN-I1oV_STSDYn1IFDPWt_1FKiwhDph83XaGc0o0/edit?usp=sharing"",""งบพรบ!CT57"")"),30500)</f>
        <v>30500</v>
      </c>
      <c r="N186" s="93">
        <f ca="1">IFERROR(__xludf.DUMMYFUNCTION("IMPORTRANGE(""https://docs.google.com/spreadsheets/d/1MeEWN-I1oV_STSDYn1IFDPWt_1FKiwhDph83XaGc0o0/edit?usp=sharing"",""งบพรบ!CV57"")"),22630)</f>
        <v>22630</v>
      </c>
      <c r="O186" s="93">
        <f t="shared" ca="1" si="93"/>
        <v>62.686980609418285</v>
      </c>
      <c r="P186" s="93">
        <f t="shared" ca="1" si="94"/>
        <v>74.196721311475414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1580</v>
      </c>
      <c r="O191" s="155">
        <f ca="1">IF(L191&gt;0,N191*100/L191,0)</f>
        <v>26.333333333333332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8660</v>
      </c>
      <c r="O198" s="155">
        <f ca="1">IF(L198&gt;0,N198*100/L198,0)</f>
        <v>66.615384615384613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660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10000</v>
      </c>
      <c r="O217" s="155">
        <f ca="1">IF(L217&gt;0,N217*100/L217,0)</f>
        <v>58.479532163742689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21140</v>
      </c>
      <c r="O261" s="155">
        <f t="shared" ref="O261:O269" ca="1" si="117">IF(L261&gt;0,N261*100/L261,0)</f>
        <v>78.587360594795541</v>
      </c>
      <c r="P261" s="155">
        <f t="shared" ref="P261:P269" ca="1" si="118">IF(M261&gt;0,N261*100/M261,0)</f>
        <v>88.45188284518828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21140</v>
      </c>
      <c r="O263" s="93">
        <f t="shared" ca="1" si="117"/>
        <v>78.587360594795541</v>
      </c>
      <c r="P263" s="93">
        <f t="shared" ca="1" si="118"/>
        <v>88.45188284518828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21140</v>
      </c>
      <c r="O264" s="497">
        <f t="shared" ca="1" si="117"/>
        <v>78.587360594795541</v>
      </c>
      <c r="P264" s="497">
        <f t="shared" ca="1" si="118"/>
        <v>88.45188284518828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IFERROR(__xludf.DUMMYFUNCTION("IMPORTRANGE(""https://docs.google.com/spreadsheets/d/1MeEWN-I1oV_STSDYn1IFDPWt_1FKiwhDph83XaGc0o0/edit?usp=sharing"",""งบพรบ!DD57"")"),23900)</f>
        <v>23900</v>
      </c>
      <c r="N266" s="93">
        <f ca="1">IFERROR(__xludf.DUMMYFUNCTION("IMPORTRANGE(""https://docs.google.com/spreadsheets/d/1MeEWN-I1oV_STSDYn1IFDPWt_1FKiwhDph83XaGc0o0/edit?usp=sharing"",""งบพรบ!DF57"")"),21140)</f>
        <v>21140</v>
      </c>
      <c r="O266" s="93">
        <f t="shared" ca="1" si="117"/>
        <v>78.587360594795541</v>
      </c>
      <c r="P266" s="93">
        <f t="shared" ca="1" si="118"/>
        <v>88.45188284518828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58440</v>
      </c>
      <c r="O298" s="155">
        <f t="shared" ref="O298:O306" ca="1" si="136">IF(L298&gt;0,N298*100/L298,0)</f>
        <v>70.922330097087382</v>
      </c>
      <c r="P298" s="155">
        <f t="shared" ref="P298:P306" ca="1" si="137">IF(M298&gt;0,N298*100/M298,0)</f>
        <v>70.922330097087382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58440</v>
      </c>
      <c r="O300" s="93">
        <f t="shared" ca="1" si="136"/>
        <v>70.922330097087382</v>
      </c>
      <c r="P300" s="93">
        <f t="shared" ca="1" si="137"/>
        <v>70.922330097087382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58440</v>
      </c>
      <c r="O301" s="497">
        <f t="shared" ca="1" si="136"/>
        <v>70.922330097087382</v>
      </c>
      <c r="P301" s="497">
        <f t="shared" ca="1" si="137"/>
        <v>70.922330097087382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IFERROR(__xludf.DUMMYFUNCTION("IMPORTRANGE(""https://docs.google.com/spreadsheets/d/1MeEWN-I1oV_STSDYn1IFDPWt_1FKiwhDph83XaGc0o0/edit?usp=sharing"",""งบพรบ!DX57"")"),82400)</f>
        <v>82400</v>
      </c>
      <c r="N303" s="93">
        <f ca="1">IFERROR(__xludf.DUMMYFUNCTION("IMPORTRANGE(""https://docs.google.com/spreadsheets/d/1MeEWN-I1oV_STSDYn1IFDPWt_1FKiwhDph83XaGc0o0/edit?usp=sharing"",""งบพรบ!DZ57"")"),58440)</f>
        <v>58440</v>
      </c>
      <c r="O303" s="93">
        <f t="shared" ca="1" si="136"/>
        <v>70.922330097087382</v>
      </c>
      <c r="P303" s="93">
        <f t="shared" ca="1" si="137"/>
        <v>70.922330097087382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896</v>
      </c>
      <c r="K327" s="445">
        <f ca="1">IF(I327&gt;0,J327*100/I327,0)</f>
        <v>112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107740</v>
      </c>
      <c r="O328" s="155">
        <f t="shared" ref="O328:O336" ca="1" si="150">IF(L328&gt;0,N328*100/L328,0)</f>
        <v>66.098159509202461</v>
      </c>
      <c r="P328" s="155">
        <f t="shared" ref="P328:P336" ca="1" si="151">IF(M328&gt;0,N328*100/M328,0)</f>
        <v>86.364729458917836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107740</v>
      </c>
      <c r="O330" s="93">
        <f t="shared" ca="1" si="150"/>
        <v>66.098159509202461</v>
      </c>
      <c r="P330" s="93">
        <f t="shared" ca="1" si="151"/>
        <v>86.364729458917836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124750</v>
      </c>
      <c r="N331" s="497">
        <f t="shared" ca="1" si="153"/>
        <v>107740</v>
      </c>
      <c r="O331" s="497">
        <f t="shared" ca="1" si="150"/>
        <v>66.098159509202461</v>
      </c>
      <c r="P331" s="497">
        <f t="shared" ca="1" si="151"/>
        <v>86.364729458917836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IFERROR(__xludf.DUMMYFUNCTION("IMPORTRANGE(""https://docs.google.com/spreadsheets/d/1MeEWN-I1oV_STSDYn1IFDPWt_1FKiwhDph83XaGc0o0/edit?usp=sharing"",""งบพรบ!ER57"")"),124750)</f>
        <v>124750</v>
      </c>
      <c r="N333" s="93">
        <f ca="1">IFERROR(__xludf.DUMMYFUNCTION("IMPORTRANGE(""https://docs.google.com/spreadsheets/d/1MeEWN-I1oV_STSDYn1IFDPWt_1FKiwhDph83XaGc0o0/edit?usp=sharing"",""งบพรบ!ET57"")"),107740)</f>
        <v>107740</v>
      </c>
      <c r="O333" s="93">
        <f t="shared" ca="1" si="150"/>
        <v>66.098159509202461</v>
      </c>
      <c r="P333" s="93">
        <f t="shared" ca="1" si="151"/>
        <v>86.364729458917836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IFERROR(__xludf.DUMMYFUNCTION("IMPORTRANGE(""https://docs.google.com/spreadsheets/d/1kVcqe37tkHyjCSG3S0O1AXqVkqjo8mSIZil3BcpIysc/edit?usp=sharing"",""ศูนย์!D57"")"),850)</f>
        <v>850</v>
      </c>
      <c r="K338" s="497">
        <f ca="1">IF(I338&gt;0,J338*100/I338,0)</f>
        <v>106.25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308529</v>
      </c>
      <c r="N345" s="155">
        <f t="shared" ca="1" si="155"/>
        <v>247608</v>
      </c>
      <c r="O345" s="155">
        <f t="shared" ref="O345:O353" ca="1" si="156">IF(L345&gt;0,N345*100/L345,0)</f>
        <v>61.817001622768693</v>
      </c>
      <c r="P345" s="155">
        <f t="shared" ref="P345:P353" ca="1" si="157">IF(M345&gt;0,N345*100/M345,0)</f>
        <v>80.254368308975813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308529</v>
      </c>
      <c r="N347" s="93">
        <f t="shared" ca="1" si="158"/>
        <v>247608</v>
      </c>
      <c r="O347" s="93">
        <f t="shared" ca="1" si="156"/>
        <v>61.817001622768693</v>
      </c>
      <c r="P347" s="93">
        <f t="shared" ca="1" si="157"/>
        <v>80.254368308975813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234429</v>
      </c>
      <c r="N348" s="497">
        <f t="shared" ca="1" si="159"/>
        <v>173508</v>
      </c>
      <c r="O348" s="497">
        <f t="shared" ca="1" si="156"/>
        <v>53.149946393015775</v>
      </c>
      <c r="P348" s="497">
        <f t="shared" ca="1" si="157"/>
        <v>74.013027398487395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IFERROR(__xludf.DUMMYFUNCTION("IMPORTRANGE(""https://docs.google.com/spreadsheets/d/1MeEWN-I1oV_STSDYn1IFDPWt_1FKiwhDph83XaGc0o0/edit?usp=sharing"",""งบพรบ!FB57"")"),234429)</f>
        <v>234429</v>
      </c>
      <c r="N350" s="93">
        <f ca="1">IFERROR(__xludf.DUMMYFUNCTION("IMPORTRANGE(""https://docs.google.com/spreadsheets/d/1MeEWN-I1oV_STSDYn1IFDPWt_1FKiwhDph83XaGc0o0/edit?usp=sharing"",""งบพรบ!FD57"")"),173508)</f>
        <v>173508</v>
      </c>
      <c r="O350" s="93">
        <f t="shared" ca="1" si="156"/>
        <v>53.149946393015775</v>
      </c>
      <c r="P350" s="93">
        <f t="shared" ca="1" si="157"/>
        <v>74.013027398487395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12</v>
      </c>
      <c r="K355" s="465">
        <f ca="1">IF(I355&gt;0,J355*100/I355,0)</f>
        <v>66.666666666666671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IFERROR(__xludf.DUMMYFUNCTION("IMPORTRANGE(""https://docs.google.com/spreadsheets/d/1XWAQStnk-4SwqDmLtmXYiTMKHgktTP8We1SCoS47DrQ/edit?usp=sharing"",""จัดที่ดิน!W57"")"),8)</f>
        <v>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IFERROR(__xludf.DUMMYFUNCTION("IMPORTRANGE(""https://docs.google.com/spreadsheets/d/1XWAQStnk-4SwqDmLtmXYiTMKHgktTP8We1SCoS47DrQ/edit?usp=sharing"",""จัดที่ดิน!X57"")"),71.33)</f>
        <v>71.33</v>
      </c>
      <c r="K359" s="497">
        <f t="shared" ca="1" si="161"/>
        <v>43.760736196319016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IFERROR(__xludf.DUMMYFUNCTION("IMPORTRANGE(""https://docs.google.com/spreadsheets/d/1XWAQStnk-4SwqDmLtmXYiTMKHgktTP8We1SCoS47DrQ/edit?usp=sharing"",""จัดที่ดิน!Y57"")"),15)</f>
        <v>15</v>
      </c>
      <c r="K360" s="497">
        <f t="shared" ca="1" si="161"/>
        <v>83.333333333333329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IFERROR(__xludf.DUMMYFUNCTION("IMPORTRANGE(""https://docs.google.com/spreadsheets/d/1XWAQStnk-4SwqDmLtmXYiTMKHgktTP8We1SCoS47DrQ/edit?usp=sharing"",""จัดที่ดิน!Z57"")"),152.91)</f>
        <v>152.91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IFERROR(__xludf.DUMMYFUNCTION("IMPORTRANGE(""https://docs.google.com/spreadsheets/d/1XWAQStnk-4SwqDmLtmXYiTMKHgktTP8We1SCoS47DrQ/edit?usp=sharing"",""จัดที่ดิน!AA57"")"),12)</f>
        <v>12</v>
      </c>
      <c r="K362" s="497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IFERROR(__xludf.DUMMYFUNCTION("IMPORTRANGE(""https://docs.google.com/spreadsheets/d/1XWAQStnk-4SwqDmLtmXYiTMKHgktTP8We1SCoS47DrQ/edit?usp=sharing"",""จัดที่ดิน!AB57"")"),98.49)</f>
        <v>98.49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60</v>
      </c>
      <c r="K364" s="479">
        <f t="shared" ca="1" si="161"/>
        <v>68.181818181818187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4</v>
      </c>
      <c r="K365" s="491">
        <f t="shared" ca="1" si="161"/>
        <v>133.33333333333334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IFERROR(__xludf.DUMMYFUNCTION("IMPORTRANGE(""https://docs.google.com/spreadsheets/d/1XWAQStnk-4SwqDmLtmXYiTMKHgktTP8We1SCoS47DrQ/edit?usp=sharing"",""จัดที่ดิน!E57"")"),2)</f>
        <v>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IFERROR(__xludf.DUMMYFUNCTION("IMPORTRANGE(""https://docs.google.com/spreadsheets/d/1XWAQStnk-4SwqDmLtmXYiTMKHgktTP8We1SCoS47DrQ/edit?usp=sharing"",""จัดที่ดิน!F57"")"),13.41)</f>
        <v>13.41</v>
      </c>
      <c r="K369" s="497">
        <f t="shared" ca="1" si="163"/>
        <v>103.15384615384616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IFERROR(__xludf.DUMMYFUNCTION("IMPORTRANGE(""https://docs.google.com/spreadsheets/d/1XWAQStnk-4SwqDmLtmXYiTMKHgktTP8We1SCoS47DrQ/edit?usp=sharing"",""จัดที่ดิน!G57"")"),3)</f>
        <v>3</v>
      </c>
      <c r="K370" s="497">
        <f t="shared" ca="1" si="163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IFERROR(__xludf.DUMMYFUNCTION("IMPORTRANGE(""https://docs.google.com/spreadsheets/d/1XWAQStnk-4SwqDmLtmXYiTMKHgktTP8We1SCoS47DrQ/edit?usp=sharing"",""จัดที่ดิน!H57"")"),23.41)</f>
        <v>23.41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IFERROR(__xludf.DUMMYFUNCTION("IMPORTRANGE(""https://docs.google.com/spreadsheets/d/1XWAQStnk-4SwqDmLtmXYiTMKHgktTP8We1SCoS47DrQ/edit?usp=sharing"",""จัดที่ดิน!I57"")"),4)</f>
        <v>4</v>
      </c>
      <c r="K372" s="497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IFERROR(__xludf.DUMMYFUNCTION("IMPORTRANGE(""https://docs.google.com/spreadsheets/d/1XWAQStnk-4SwqDmLtmXYiTMKHgktTP8We1SCoS47DrQ/edit?usp=sharing"",""จัดที่ดิน!J57"")"),23.77)</f>
        <v>23.77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56</v>
      </c>
      <c r="K374" s="491">
        <f t="shared" ca="1" si="163"/>
        <v>65.882352941176464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IFERROR(__xludf.DUMMYFUNCTION("IMPORTRANGE(""https://docs.google.com/spreadsheets/d/1XWAQStnk-4SwqDmLtmXYiTMKHgktTP8We1SCoS47DrQ/edit?usp=sharing"",""จัดที่ดิน!AH57"")"),6)</f>
        <v>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IFERROR(__xludf.DUMMYFUNCTION("IMPORTRANGE(""https://docs.google.com/spreadsheets/d/1XWAQStnk-4SwqDmLtmXYiTMKHgktTP8We1SCoS47DrQ/edit?usp=sharing"",""จัดที่ดิน!AI57"")"),57.92)</f>
        <v>57.92</v>
      </c>
      <c r="K378" s="497">
        <f t="shared" ca="1" si="164"/>
        <v>38.613333333333337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IFERROR(__xludf.DUMMYFUNCTION("IMPORTRANGE(""https://docs.google.com/spreadsheets/d/1XWAQStnk-4SwqDmLtmXYiTMKHgktTP8We1SCoS47DrQ/edit?usp=sharing"",""จัดที่ดิน!AJ57"")"),61)</f>
        <v>61</v>
      </c>
      <c r="K379" s="497">
        <f t="shared" ca="1" si="164"/>
        <v>71.764705882352942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IFERROR(__xludf.DUMMYFUNCTION("IMPORTRANGE(""https://docs.google.com/spreadsheets/d/1XWAQStnk-4SwqDmLtmXYiTMKHgktTP8We1SCoS47DrQ/edit?usp=sharing"",""จัดที่ดิน!AK57"")"),876.52)</f>
        <v>876.52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IFERROR(__xludf.DUMMYFUNCTION("IMPORTRANGE(""https://docs.google.com/spreadsheets/d/1XWAQStnk-4SwqDmLtmXYiTMKHgktTP8We1SCoS47DrQ/edit?usp=sharing"",""จัดที่ดิน!AL57"")"),56)</f>
        <v>56</v>
      </c>
      <c r="K381" s="497">
        <f t="shared" ca="1" si="164"/>
        <v>65.882352941176464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IFERROR(__xludf.DUMMYFUNCTION("IMPORTRANGE(""https://docs.google.com/spreadsheets/d/1XWAQStnk-4SwqDmLtmXYiTMKHgktTP8We1SCoS47DrQ/edit?usp=sharing"",""จัดที่ดิน!AM57"")"),818.88)</f>
        <v>818.88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642908</v>
      </c>
      <c r="N414" s="549">
        <f t="shared" si="181"/>
        <v>288310</v>
      </c>
      <c r="O414" s="549">
        <f ca="1">IF(L414&gt;0,N414*100/L414,0)</f>
        <v>44.844674510194302</v>
      </c>
      <c r="P414" s="549">
        <f ca="1">IF(M414&gt;0,N414*100/M414,0)</f>
        <v>44.844674510194302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66150</v>
      </c>
      <c r="O419" s="155">
        <f t="shared" ref="O419:O424" ca="1" si="185">IF(L419&gt;0,N419*100/L419,0)</f>
        <v>84.096109839816933</v>
      </c>
      <c r="P419" s="155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66150</v>
      </c>
      <c r="O421" s="93">
        <f t="shared" ca="1" si="185"/>
        <v>84.096109839816933</v>
      </c>
      <c r="P421" s="93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66150</v>
      </c>
      <c r="O422" s="497">
        <f t="shared" ca="1" si="185"/>
        <v>84.096109839816933</v>
      </c>
      <c r="P422" s="497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66150</v>
      </c>
      <c r="O424" s="93">
        <f t="shared" ca="1" si="185"/>
        <v>84.096109839816933</v>
      </c>
      <c r="P424" s="93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41315</v>
      </c>
      <c r="O467" s="195">
        <f t="shared" ref="O467:O472" ca="1" si="207">IF(L467&gt;0,N467*100/L467,0)</f>
        <v>22.98303877883658</v>
      </c>
      <c r="P467" s="195">
        <f t="shared" ref="P467:P472" ca="1" si="208">IF(M467&gt;0,N467*100/M467,0)</f>
        <v>22.98303877883658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41315</v>
      </c>
      <c r="O469" s="93">
        <f t="shared" ca="1" si="207"/>
        <v>22.98303877883658</v>
      </c>
      <c r="P469" s="93">
        <f t="shared" ca="1" si="208"/>
        <v>22.98303877883658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41315</v>
      </c>
      <c r="O470" s="497">
        <f t="shared" ca="1" si="207"/>
        <v>22.98303877883658</v>
      </c>
      <c r="P470" s="497">
        <f t="shared" ca="1" si="208"/>
        <v>22.98303877883658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41315</v>
      </c>
      <c r="O472" s="93">
        <f t="shared" ca="1" si="207"/>
        <v>22.98303877883658</v>
      </c>
      <c r="P472" s="93">
        <f t="shared" ca="1" si="208"/>
        <v>22.98303877883658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25780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5640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3500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217100</v>
      </c>
      <c r="N544" s="155">
        <f t="shared" si="236"/>
        <v>109705</v>
      </c>
      <c r="O544" s="155">
        <f t="shared" ref="O544:O549" ca="1" si="237">IF(L544&gt;0,N544*100/L544,0)</f>
        <v>50.532012897282357</v>
      </c>
      <c r="P544" s="155">
        <f t="shared" ref="P544:P549" ca="1" si="238">IF(M544&gt;0,N544*100/M544,0)</f>
        <v>50.532012897282357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217100</v>
      </c>
      <c r="N546" s="93">
        <f t="shared" si="240"/>
        <v>109705</v>
      </c>
      <c r="O546" s="93">
        <f t="shared" ca="1" si="237"/>
        <v>50.532012897282357</v>
      </c>
      <c r="P546" s="93">
        <f t="shared" ca="1" si="238"/>
        <v>50.532012897282357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217100</v>
      </c>
      <c r="N547" s="497">
        <f t="shared" si="241"/>
        <v>109705</v>
      </c>
      <c r="O547" s="497">
        <f t="shared" ca="1" si="237"/>
        <v>50.532012897282357</v>
      </c>
      <c r="P547" s="497">
        <f t="shared" ca="1" si="238"/>
        <v>50.532012897282357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</f>
        <v>217100</v>
      </c>
      <c r="N549" s="93">
        <f>N550+N551+N552+N553+N554</f>
        <v>109705</v>
      </c>
      <c r="O549" s="93">
        <f t="shared" ca="1" si="237"/>
        <v>50.532012897282357</v>
      </c>
      <c r="P549" s="93">
        <f t="shared" ca="1" si="238"/>
        <v>50.532012897282357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27305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146945</v>
      </c>
      <c r="N629" s="195">
        <f t="shared" si="263"/>
        <v>64580</v>
      </c>
      <c r="O629" s="195">
        <f t="shared" ref="O629:O634" ca="1" si="264">IF(L629&gt;0,N629*100/L629,0)</f>
        <v>43.948416074041305</v>
      </c>
      <c r="P629" s="195">
        <f t="shared" ref="P629:P634" ca="1" si="265">IF(M629&gt;0,N629*100/M629,0)</f>
        <v>43.948416074041305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146945</v>
      </c>
      <c r="N631" s="93">
        <f t="shared" si="266"/>
        <v>64580</v>
      </c>
      <c r="O631" s="93">
        <f t="shared" ca="1" si="264"/>
        <v>43.948416074041305</v>
      </c>
      <c r="P631" s="93">
        <f t="shared" ca="1" si="265"/>
        <v>43.948416074041305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146945</v>
      </c>
      <c r="N632" s="497">
        <f t="shared" si="267"/>
        <v>64580</v>
      </c>
      <c r="O632" s="497">
        <f t="shared" ca="1" si="264"/>
        <v>43.948416074041305</v>
      </c>
      <c r="P632" s="497">
        <f t="shared" ca="1" si="265"/>
        <v>43.948416074041305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</f>
        <v>146945</v>
      </c>
      <c r="N634" s="93">
        <f>N635+N636+N637+N638</f>
        <v>64580</v>
      </c>
      <c r="O634" s="93">
        <f t="shared" ca="1" si="264"/>
        <v>43.948416074041305</v>
      </c>
      <c r="P634" s="93">
        <f t="shared" ca="1" si="265"/>
        <v>43.948416074041305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f>4155+15000+17150</f>
        <v>36305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28275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271"/>
        <v>166.66666666666666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271"/>
        <v>133.33333333333334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4720</v>
      </c>
      <c r="O685" s="195">
        <f t="shared" ref="O685:O688" ca="1" si="283">IF(L685&gt;0,N685*100/L685,0)</f>
        <v>42.753623188405797</v>
      </c>
      <c r="P685" s="195">
        <f t="shared" ref="P685:P688" ca="1" si="284">IF(M685&gt;0,N685*100/M685,0)</f>
        <v>42.753623188405797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4720</v>
      </c>
      <c r="O687" s="93">
        <f t="shared" ca="1" si="283"/>
        <v>42.753623188405797</v>
      </c>
      <c r="P687" s="93">
        <f t="shared" ca="1" si="284"/>
        <v>42.753623188405797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4720</v>
      </c>
      <c r="O688" s="497">
        <f t="shared" ca="1" si="283"/>
        <v>42.753623188405797</v>
      </c>
      <c r="P688" s="497">
        <f t="shared" ca="1" si="284"/>
        <v>42.753623188405797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4720</v>
      </c>
      <c r="O690" s="93">
        <f ca="1">IF(L690&gt;0,N690*100/L690,0)</f>
        <v>42.753623188405797</v>
      </c>
      <c r="P690" s="93">
        <f ca="1">IF(M690&gt;0,N690*100/M690,0)</f>
        <v>42.753623188405797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4720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IFERROR(__xludf.DUMMYFUNCTION("IMPORTRANGE(""https://docs.google.com/spreadsheets/d/19vJNZY_5yjcGF2XGBMNZRCAIB0Kwfpjp8YEOfu-bneM/edit?usp=sharing"",""งานกองทุน!F57"")"),2502805.62)</f>
        <v>2502805.62</v>
      </c>
      <c r="K821" s="497">
        <f t="shared" ref="K821:K828" ca="1" si="335">IF(I821&gt;0,J821*100/I821,0)</f>
        <v>58.907261363743721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IFERROR(__xludf.DUMMYFUNCTION("IMPORTRANGE(""https://docs.google.com/spreadsheets/d/19vJNZY_5yjcGF2XGBMNZRCAIB0Kwfpjp8YEOfu-bneM/edit?usp=sharing"",""งานกองทุน!E57"")"),145)</f>
        <v>145</v>
      </c>
      <c r="K822" s="497">
        <f t="shared" ca="1" si="335"/>
        <v>58.943089430894311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IFERROR(__xludf.DUMMYFUNCTION("IMPORTRANGE(""https://docs.google.com/spreadsheets/d/19vJNZY_5yjcGF2XGBMNZRCAIB0Kwfpjp8YEOfu-bneM/edit?usp=sharing"",""งานกองทุน!K57"")"),600931.07)</f>
        <v>600931.06999999995</v>
      </c>
      <c r="K823" s="497">
        <f t="shared" ca="1" si="335"/>
        <v>11.932726958422435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IFERROR(__xludf.DUMMYFUNCTION("IMPORTRANGE(""https://docs.google.com/spreadsheets/d/19vJNZY_5yjcGF2XGBMNZRCAIB0Kwfpjp8YEOfu-bneM/edit?usp=sharing"",""งานกองทุน!J57"")"),89)</f>
        <v>89</v>
      </c>
      <c r="K824" s="497">
        <f t="shared" ca="1" si="335"/>
        <v>38.034188034188034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IFERROR(__xludf.DUMMYFUNCTION("IMPORTRANGE(""https://docs.google.com/spreadsheets/d/19vJNZY_5yjcGF2XGBMNZRCAIB0Kwfpjp8YEOfu-bneM/edit?usp=sharing"",""งานกองทุน!P57"")"),2090411.44)</f>
        <v>2090411.44</v>
      </c>
      <c r="K825" s="497">
        <f t="shared" ca="1" si="335"/>
        <v>20.02135570855086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IFERROR(__xludf.DUMMYFUNCTION("IMPORTRANGE(""https://docs.google.com/spreadsheets/d/19vJNZY_5yjcGF2XGBMNZRCAIB0Kwfpjp8YEOfu-bneM/edit?usp=sharing"",""งานกองทุน!O57"")"),156)</f>
        <v>156</v>
      </c>
      <c r="K826" s="497">
        <f t="shared" ca="1" si="335"/>
        <v>47.272727272727273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IFERROR(__xludf.DUMMYFUNCTION("IMPORTRANGE(""https://docs.google.com/spreadsheets/d/19vJNZY_5yjcGF2XGBMNZRCAIB0Kwfpjp8YEOfu-bneM/edit?usp=sharing"",""งานกองทุน!U57"")"),1370000)</f>
        <v>1370000</v>
      </c>
      <c r="K827" s="497">
        <f t="shared" ca="1" si="335"/>
        <v>40.895522388059703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IFERROR(__xludf.DUMMYFUNCTION("IMPORTRANGE(""https://docs.google.com/spreadsheets/d/19vJNZY_5yjcGF2XGBMNZRCAIB0Kwfpjp8YEOfu-bneM/edit?usp=sharing"",""งานกองทุน!T57"")"),35)</f>
        <v>35</v>
      </c>
      <c r="K828" s="502">
        <f t="shared" ca="1" si="335"/>
        <v>26.119402985074625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F229A-4498-4D6D-834D-4D410930181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3376898</v>
      </c>
      <c r="N8" s="22">
        <f t="shared" ca="1" si="0"/>
        <v>2410920.96</v>
      </c>
      <c r="O8" s="22">
        <f t="shared" ref="O8:O16" ca="1" si="1">IF(L8&gt;0,N8*100/L8,0)</f>
        <v>64.526739595959981</v>
      </c>
      <c r="P8" s="22">
        <f t="shared" ref="P8:P16" ca="1" si="2">IF(M8&gt;0,N8*100/M8,0)</f>
        <v>71.39454493443391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3376898</v>
      </c>
      <c r="N10" s="30">
        <f t="shared" ca="1" si="3"/>
        <v>2410920.96</v>
      </c>
      <c r="O10" s="30">
        <f t="shared" ca="1" si="1"/>
        <v>64.526739595959981</v>
      </c>
      <c r="P10" s="30">
        <f t="shared" ca="1" si="2"/>
        <v>71.39454493443391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2632398</v>
      </c>
      <c r="N11" s="497">
        <f t="shared" ca="1" si="4"/>
        <v>1666420.96</v>
      </c>
      <c r="O11" s="497">
        <f t="shared" ca="1" si="1"/>
        <v>56.77149114932547</v>
      </c>
      <c r="P11" s="497">
        <f t="shared" ca="1" si="2"/>
        <v>63.30429365164386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2632398</v>
      </c>
      <c r="N13" s="93">
        <f t="shared" ca="1" si="5"/>
        <v>1666420.96</v>
      </c>
      <c r="O13" s="93">
        <f t="shared" ca="1" si="1"/>
        <v>56.77149114932547</v>
      </c>
      <c r="P13" s="93">
        <f t="shared" ca="1" si="2"/>
        <v>63.30429365164386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2571005</v>
      </c>
      <c r="N18" s="22">
        <f t="shared" ca="1" si="8"/>
        <v>2184724.96</v>
      </c>
      <c r="O18" s="22">
        <f t="shared" ref="O18:O26" ca="1" si="9">IF(L18&gt;0,N18*100/L18,0)</f>
        <v>75.58503470083933</v>
      </c>
      <c r="P18" s="22">
        <f t="shared" ref="P18:P26" ca="1" si="10">IF(M18&gt;0,N18*100/M18,0)</f>
        <v>84.975523579300699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2571005</v>
      </c>
      <c r="N20" s="30">
        <f t="shared" ca="1" si="11"/>
        <v>2184724.96</v>
      </c>
      <c r="O20" s="30">
        <f t="shared" ca="1" si="9"/>
        <v>75.58503470083933</v>
      </c>
      <c r="P20" s="30">
        <f t="shared" ca="1" si="10"/>
        <v>84.975523579300699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1826505</v>
      </c>
      <c r="N21" s="497">
        <f t="shared" ca="1" si="12"/>
        <v>1440224.96</v>
      </c>
      <c r="O21" s="497">
        <f t="shared" ca="1" si="9"/>
        <v>68.929413904337082</v>
      </c>
      <c r="P21" s="497">
        <f t="shared" ca="1" si="10"/>
        <v>78.851410754418964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1826505</v>
      </c>
      <c r="N23" s="93">
        <f t="shared" ca="1" si="13"/>
        <v>1440224.96</v>
      </c>
      <c r="O23" s="93">
        <f t="shared" ca="1" si="9"/>
        <v>68.929413904337082</v>
      </c>
      <c r="P23" s="93">
        <f t="shared" ca="1" si="10"/>
        <v>78.851410754418964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226196</v>
      </c>
      <c r="O28" s="22">
        <f t="shared" ref="O28:O37" ca="1" si="17">IF(L28&gt;0,N28*100/L28,0)</f>
        <v>26.740497911674407</v>
      </c>
      <c r="P28" s="22">
        <f t="shared" ref="P28:P37" ca="1" si="18">IF(M28&gt;0,N28*100/M28,0)</f>
        <v>28.067745966275918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226196</v>
      </c>
      <c r="O30" s="30">
        <f t="shared" ca="1" si="17"/>
        <v>26.740497911674407</v>
      </c>
      <c r="P30" s="30">
        <f t="shared" ca="1" si="18"/>
        <v>28.067745966275918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805893</v>
      </c>
      <c r="N31" s="497">
        <f t="shared" si="20"/>
        <v>226196</v>
      </c>
      <c r="O31" s="497">
        <f t="shared" ca="1" si="17"/>
        <v>26.740497911674407</v>
      </c>
      <c r="P31" s="497">
        <f t="shared" ca="1" si="18"/>
        <v>28.067745966275918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805893</v>
      </c>
      <c r="N33" s="93">
        <f t="shared" si="21"/>
        <v>226196</v>
      </c>
      <c r="O33" s="93">
        <f t="shared" ca="1" si="17"/>
        <v>26.740497911674407</v>
      </c>
      <c r="P33" s="93">
        <f t="shared" ca="1" si="18"/>
        <v>28.067745966275918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2571005</v>
      </c>
      <c r="N37" s="59">
        <f t="shared" ca="1" si="24"/>
        <v>2184724.96</v>
      </c>
      <c r="O37" s="59">
        <f t="shared" ca="1" si="17"/>
        <v>75.58503470083933</v>
      </c>
      <c r="P37" s="59">
        <f t="shared" ca="1" si="18"/>
        <v>84.975523579300699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292810</v>
      </c>
      <c r="N41" s="85">
        <f t="shared" ca="1" si="25"/>
        <v>182029</v>
      </c>
      <c r="O41" s="85">
        <f t="shared" ref="O41:O49" ca="1" si="26">IF(L41&gt;0,N41*100/L41,0)</f>
        <v>65.46628304261823</v>
      </c>
      <c r="P41" s="85">
        <f t="shared" ref="P41:P49" ca="1" si="27">IF(M41&gt;0,N41*100/M41,0)</f>
        <v>62.166251152624568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292810</v>
      </c>
      <c r="N43" s="92">
        <f t="shared" ca="1" si="28"/>
        <v>182029</v>
      </c>
      <c r="O43" s="92">
        <f t="shared" ca="1" si="26"/>
        <v>65.46628304261823</v>
      </c>
      <c r="P43" s="92">
        <f t="shared" ca="1" si="27"/>
        <v>62.166251152624568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292810</v>
      </c>
      <c r="N44" s="497">
        <f t="shared" ca="1" si="29"/>
        <v>182029</v>
      </c>
      <c r="O44" s="497">
        <f t="shared" ca="1" si="26"/>
        <v>65.46628304261823</v>
      </c>
      <c r="P44" s="497">
        <f t="shared" ca="1" si="27"/>
        <v>62.166251152624568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IFERROR(__xludf.DUMMYFUNCTION("IMPORTRANGE(""https://docs.google.com/spreadsheets/d/1MeEWN-I1oV_STSDYn1IFDPWt_1FKiwhDph83XaGc0o0/edit?usp=sharing"",""งบพรบ!R58"")"),292810)</f>
        <v>292810</v>
      </c>
      <c r="N46" s="93">
        <f ca="1">IFERROR(__xludf.DUMMYFUNCTION("IMPORTRANGE(""https://docs.google.com/spreadsheets/d/1MeEWN-I1oV_STSDYn1IFDPWt_1FKiwhDph83XaGc0o0/edit?usp=sharing"",""งบพรบ!T58"")"),182029)</f>
        <v>182029</v>
      </c>
      <c r="O46" s="93">
        <f t="shared" ca="1" si="26"/>
        <v>65.46628304261823</v>
      </c>
      <c r="P46" s="93">
        <f t="shared" ca="1" si="27"/>
        <v>62.166251152624568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1204675</v>
      </c>
      <c r="N53" s="116">
        <f t="shared" ca="1" si="31"/>
        <v>1157748.96</v>
      </c>
      <c r="O53" s="116">
        <f t="shared" ref="O53:O61" ca="1" si="32">IF(L53&gt;0,N53*100/L53,0)</f>
        <v>81.652370406939838</v>
      </c>
      <c r="P53" s="116">
        <f t="shared" ref="P53:P61" ca="1" si="33">IF(M53&gt;0,N53*100/M53,0)</f>
        <v>96.104672214497683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1204675</v>
      </c>
      <c r="N55" s="123">
        <f t="shared" ca="1" si="34"/>
        <v>1157748.96</v>
      </c>
      <c r="O55" s="123">
        <f t="shared" ca="1" si="32"/>
        <v>81.652370406939838</v>
      </c>
      <c r="P55" s="123">
        <f t="shared" ca="1" si="33"/>
        <v>96.104672214497683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474675</v>
      </c>
      <c r="N56" s="497">
        <f t="shared" ca="1" si="35"/>
        <v>427748.96</v>
      </c>
      <c r="O56" s="497">
        <f t="shared" ca="1" si="32"/>
        <v>67.585552219939956</v>
      </c>
      <c r="P56" s="497">
        <f t="shared" ca="1" si="33"/>
        <v>90.114069626586613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IFERROR(__xludf.DUMMYFUNCTION("IMPORTRANGE(""https://docs.google.com/spreadsheets/d/1MeEWN-I1oV_STSDYn1IFDPWt_1FKiwhDph83XaGc0o0/edit?usp=sharing"",""งบพรบ!AB58"")"),474675)</f>
        <v>474675</v>
      </c>
      <c r="N58" s="93">
        <f ca="1">IFERROR(__xludf.DUMMYFUNCTION("IMPORTRANGE(""https://docs.google.com/spreadsheets/d/1MeEWN-I1oV_STSDYn1IFDPWt_1FKiwhDph83XaGc0o0/edit?usp=sharing"",""งบพรบ!AD58"")"),427748.96)</f>
        <v>427748.96</v>
      </c>
      <c r="O58" s="93">
        <f t="shared" ca="1" si="32"/>
        <v>67.585552219939956</v>
      </c>
      <c r="P58" s="93">
        <f t="shared" ca="1" si="33"/>
        <v>90.114069626586613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290590</v>
      </c>
      <c r="N88" s="155">
        <f t="shared" ca="1" si="49"/>
        <v>231659</v>
      </c>
      <c r="O88" s="155">
        <f t="shared" ref="O88:O96" ca="1" si="50">IF(L88&gt;0,N88*100/L88,0)</f>
        <v>62.250497124738004</v>
      </c>
      <c r="P88" s="155">
        <f t="shared" ref="P88:P96" ca="1" si="51">IF(M88&gt;0,N88*100/M88,0)</f>
        <v>79.720224371107065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290590</v>
      </c>
      <c r="N90" s="93">
        <f t="shared" ca="1" si="52"/>
        <v>231659</v>
      </c>
      <c r="O90" s="93">
        <f t="shared" ca="1" si="50"/>
        <v>62.250497124738004</v>
      </c>
      <c r="P90" s="93">
        <f t="shared" ca="1" si="51"/>
        <v>79.720224371107065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290590</v>
      </c>
      <c r="N91" s="497">
        <f t="shared" ca="1" si="53"/>
        <v>231659</v>
      </c>
      <c r="O91" s="497">
        <f t="shared" ca="1" si="50"/>
        <v>62.250497124738004</v>
      </c>
      <c r="P91" s="497">
        <f t="shared" ca="1" si="51"/>
        <v>79.720224371107065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IFERROR(__xludf.DUMMYFUNCTION("IMPORTRANGE(""https://docs.google.com/spreadsheets/d/1MeEWN-I1oV_STSDYn1IFDPWt_1FKiwhDph83XaGc0o0/edit?usp=sharing"",""งบพรบ!AV58"")"),290590)</f>
        <v>290590</v>
      </c>
      <c r="N93" s="93">
        <f ca="1">IFERROR(__xludf.DUMMYFUNCTION("IMPORTRANGE(""https://docs.google.com/spreadsheets/d/1MeEWN-I1oV_STSDYn1IFDPWt_1FKiwhDph83XaGc0o0/edit?usp=sharing"",""งบพรบ!AX58"")"),231659)</f>
        <v>231659</v>
      </c>
      <c r="O93" s="93">
        <f t="shared" ca="1" si="50"/>
        <v>62.250497124738004</v>
      </c>
      <c r="P93" s="93">
        <f t="shared" ca="1" si="51"/>
        <v>79.720224371107065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32440</v>
      </c>
      <c r="N165" s="155">
        <f t="shared" ca="1" si="84"/>
        <v>31620</v>
      </c>
      <c r="O165" s="155">
        <f t="shared" ref="O165:O173" ca="1" si="85">IF(L165&gt;0,N165*100/L165,0)</f>
        <v>150.21377672209027</v>
      </c>
      <c r="P165" s="155">
        <f t="shared" ref="P165:P173" ca="1" si="86">IF(M165&gt;0,N165*100/M165,0)</f>
        <v>97.472256473489523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32440</v>
      </c>
      <c r="N167" s="93">
        <f t="shared" ca="1" si="87"/>
        <v>31620</v>
      </c>
      <c r="O167" s="93">
        <f t="shared" ca="1" si="85"/>
        <v>150.21377672209027</v>
      </c>
      <c r="P167" s="93">
        <f t="shared" ca="1" si="86"/>
        <v>97.472256473489523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32440</v>
      </c>
      <c r="N168" s="497">
        <f t="shared" ca="1" si="88"/>
        <v>31620</v>
      </c>
      <c r="O168" s="497">
        <f t="shared" ca="1" si="85"/>
        <v>150.21377672209027</v>
      </c>
      <c r="P168" s="497">
        <f t="shared" ca="1" si="86"/>
        <v>97.472256473489523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IFERROR(__xludf.DUMMYFUNCTION("IMPORTRANGE(""https://docs.google.com/spreadsheets/d/1MeEWN-I1oV_STSDYn1IFDPWt_1FKiwhDph83XaGc0o0/edit?usp=sharing"",""งบพรบ!CJ58"")"),32440)</f>
        <v>32440</v>
      </c>
      <c r="N170" s="93">
        <f ca="1">IFERROR(__xludf.DUMMYFUNCTION("IMPORTRANGE(""https://docs.google.com/spreadsheets/d/1MeEWN-I1oV_STSDYn1IFDPWt_1FKiwhDph83XaGc0o0/edit?usp=sharing"",""งบพรบ!CL58"")"),31620)</f>
        <v>31620</v>
      </c>
      <c r="O170" s="93">
        <f t="shared" ca="1" si="85"/>
        <v>150.21377672209027</v>
      </c>
      <c r="P170" s="93">
        <f t="shared" ca="1" si="86"/>
        <v>97.472256473489523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34500</v>
      </c>
      <c r="N181" s="155">
        <f t="shared" ca="1" si="92"/>
        <v>33530</v>
      </c>
      <c r="O181" s="155">
        <f t="shared" ref="O181:O189" ca="1" si="93">IF(L181&gt;0,N181*100/L181,0)</f>
        <v>86.865284974093271</v>
      </c>
      <c r="P181" s="155">
        <f t="shared" ref="P181:P189" ca="1" si="94">IF(M181&gt;0,N181*100/M181,0)</f>
        <v>97.188405797101453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34500</v>
      </c>
      <c r="N183" s="93">
        <f t="shared" ca="1" si="95"/>
        <v>33530</v>
      </c>
      <c r="O183" s="93">
        <f t="shared" ca="1" si="93"/>
        <v>86.865284974093271</v>
      </c>
      <c r="P183" s="93">
        <f t="shared" ca="1" si="94"/>
        <v>97.188405797101453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34500</v>
      </c>
      <c r="N184" s="497">
        <f t="shared" ca="1" si="96"/>
        <v>33530</v>
      </c>
      <c r="O184" s="497">
        <f t="shared" ca="1" si="93"/>
        <v>86.865284974093271</v>
      </c>
      <c r="P184" s="497">
        <f t="shared" ca="1" si="94"/>
        <v>97.188405797101453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IFERROR(__xludf.DUMMYFUNCTION("IMPORTRANGE(""https://docs.google.com/spreadsheets/d/1MeEWN-I1oV_STSDYn1IFDPWt_1FKiwhDph83XaGc0o0/edit?usp=sharing"",""งบพรบ!CT58"")"),34500)</f>
        <v>34500</v>
      </c>
      <c r="N186" s="93">
        <f ca="1">IFERROR(__xludf.DUMMYFUNCTION("IMPORTRANGE(""https://docs.google.com/spreadsheets/d/1MeEWN-I1oV_STSDYn1IFDPWt_1FKiwhDph83XaGc0o0/edit?usp=sharing"",""งบพรบ!CV58"")"),33530)</f>
        <v>33530</v>
      </c>
      <c r="O186" s="93">
        <f t="shared" ca="1" si="93"/>
        <v>86.865284974093271</v>
      </c>
      <c r="P186" s="93">
        <f t="shared" ca="1" si="94"/>
        <v>97.188405797101453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1560</v>
      </c>
      <c r="O191" s="155">
        <f ca="1">IF(L191&gt;0,N191*100/L191,0)</f>
        <v>26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12740</v>
      </c>
      <c r="O198" s="155">
        <f ca="1">IF(L198&gt;0,N198*100/L198,0)</f>
        <v>98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740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3200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2760</v>
      </c>
      <c r="O217" s="155">
        <f ca="1">IF(L217&gt;0,N217*100/L217,0)</f>
        <v>49.285714285714285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2760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23510</v>
      </c>
      <c r="O261" s="155">
        <f t="shared" ref="O261:O269" ca="1" si="117">IF(L261&gt;0,N261*100/L261,0)</f>
        <v>87.39776951672863</v>
      </c>
      <c r="P261" s="155">
        <f t="shared" ref="P261:P269" ca="1" si="118">IF(M261&gt;0,N261*100/M261,0)</f>
        <v>98.36820083682008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23510</v>
      </c>
      <c r="O263" s="93">
        <f t="shared" ca="1" si="117"/>
        <v>87.39776951672863</v>
      </c>
      <c r="P263" s="93">
        <f t="shared" ca="1" si="118"/>
        <v>98.36820083682008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23510</v>
      </c>
      <c r="O264" s="497">
        <f t="shared" ca="1" si="117"/>
        <v>87.39776951672863</v>
      </c>
      <c r="P264" s="497">
        <f t="shared" ca="1" si="118"/>
        <v>98.36820083682008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IFERROR(__xludf.DUMMYFUNCTION("IMPORTRANGE(""https://docs.google.com/spreadsheets/d/1MeEWN-I1oV_STSDYn1IFDPWt_1FKiwhDph83XaGc0o0/edit?usp=sharing"",""งบพรบ!DD58"")"),23900)</f>
        <v>23900</v>
      </c>
      <c r="N266" s="93">
        <f ca="1">IFERROR(__xludf.DUMMYFUNCTION("IMPORTRANGE(""https://docs.google.com/spreadsheets/d/1MeEWN-I1oV_STSDYn1IFDPWt_1FKiwhDph83XaGc0o0/edit?usp=sharing"",""งบพรบ!DF58"")"),23510)</f>
        <v>23510</v>
      </c>
      <c r="O266" s="93">
        <f t="shared" ca="1" si="117"/>
        <v>87.39776951672863</v>
      </c>
      <c r="P266" s="93">
        <f t="shared" ca="1" si="118"/>
        <v>98.36820083682008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2081</v>
      </c>
      <c r="K327" s="445">
        <f ca="1">IF(I327&gt;0,J327*100/I327,0)</f>
        <v>346.83333333333331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98292</v>
      </c>
      <c r="O328" s="155">
        <f t="shared" ref="O328:O336" ca="1" si="150">IF(L328&gt;0,N328*100/L328,0)</f>
        <v>62.606369426751591</v>
      </c>
      <c r="P328" s="155">
        <f t="shared" ref="P328:P336" ca="1" si="151">IF(M328&gt;0,N328*100/M328,0)</f>
        <v>81.739708939708933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98292</v>
      </c>
      <c r="O330" s="93">
        <f t="shared" ca="1" si="150"/>
        <v>62.606369426751591</v>
      </c>
      <c r="P330" s="93">
        <f t="shared" ca="1" si="151"/>
        <v>81.739708939708933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98292</v>
      </c>
      <c r="O331" s="497">
        <f t="shared" ca="1" si="150"/>
        <v>62.606369426751591</v>
      </c>
      <c r="P331" s="497">
        <f t="shared" ca="1" si="151"/>
        <v>81.739708939708933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IFERROR(__xludf.DUMMYFUNCTION("IMPORTRANGE(""https://docs.google.com/spreadsheets/d/1MeEWN-I1oV_STSDYn1IFDPWt_1FKiwhDph83XaGc0o0/edit?usp=sharing"",""งบพรบ!ER58"")"),120250)</f>
        <v>120250</v>
      </c>
      <c r="N333" s="93">
        <f ca="1">IFERROR(__xludf.DUMMYFUNCTION("IMPORTRANGE(""https://docs.google.com/spreadsheets/d/1MeEWN-I1oV_STSDYn1IFDPWt_1FKiwhDph83XaGc0o0/edit?usp=sharing"",""งบพรบ!ET58"")"),98292)</f>
        <v>98292</v>
      </c>
      <c r="O333" s="93">
        <f t="shared" ca="1" si="150"/>
        <v>62.606369426751591</v>
      </c>
      <c r="P333" s="93">
        <f t="shared" ca="1" si="151"/>
        <v>81.739708939708933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IFERROR(__xludf.DUMMYFUNCTION("IMPORTRANGE(""https://docs.google.com/spreadsheets/d/1kVcqe37tkHyjCSG3S0O1AXqVkqjo8mSIZil3BcpIysc/edit?usp=sharing"",""ศูนย์!D58"")"),2024)</f>
        <v>2024</v>
      </c>
      <c r="K338" s="497">
        <f ca="1">IF(I338&gt;0,J338*100/I338,0)</f>
        <v>337.33333333333331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571840</v>
      </c>
      <c r="N345" s="155">
        <f t="shared" ca="1" si="155"/>
        <v>426336</v>
      </c>
      <c r="O345" s="155">
        <f t="shared" ref="O345:O353" ca="1" si="156">IF(L345&gt;0,N345*100/L345,0)</f>
        <v>73.661149314074436</v>
      </c>
      <c r="P345" s="155">
        <f t="shared" ref="P345:P353" ca="1" si="157">IF(M345&gt;0,N345*100/M345,0)</f>
        <v>74.555120313374374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571840</v>
      </c>
      <c r="N347" s="93">
        <f t="shared" ca="1" si="158"/>
        <v>426336</v>
      </c>
      <c r="O347" s="93">
        <f t="shared" ca="1" si="156"/>
        <v>73.661149314074436</v>
      </c>
      <c r="P347" s="93">
        <f t="shared" ca="1" si="157"/>
        <v>74.555120313374374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557340</v>
      </c>
      <c r="N348" s="497">
        <f t="shared" ca="1" si="159"/>
        <v>411836</v>
      </c>
      <c r="O348" s="497">
        <f t="shared" ca="1" si="156"/>
        <v>73.178862077543627</v>
      </c>
      <c r="P348" s="497">
        <f t="shared" ca="1" si="157"/>
        <v>73.89313524957835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IFERROR(__xludf.DUMMYFUNCTION("IMPORTRANGE(""https://docs.google.com/spreadsheets/d/1MeEWN-I1oV_STSDYn1IFDPWt_1FKiwhDph83XaGc0o0/edit?usp=sharing"",""งบพรบ!FB58"")"),557340)</f>
        <v>557340</v>
      </c>
      <c r="N350" s="93">
        <f ca="1">IFERROR(__xludf.DUMMYFUNCTION("IMPORTRANGE(""https://docs.google.com/spreadsheets/d/1MeEWN-I1oV_STSDYn1IFDPWt_1FKiwhDph83XaGc0o0/edit?usp=sharing"",""งบพรบ!FD58"")"),411836)</f>
        <v>411836</v>
      </c>
      <c r="O350" s="93">
        <f t="shared" ca="1" si="156"/>
        <v>73.178862077543627</v>
      </c>
      <c r="P350" s="93">
        <f t="shared" ca="1" si="157"/>
        <v>73.89313524957835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78</v>
      </c>
      <c r="K355" s="465">
        <f ca="1">IF(I355&gt;0,J355*100/I355,0)</f>
        <v>60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IFERROR(__xludf.DUMMYFUNCTION("IMPORTRANGE(""https://docs.google.com/spreadsheets/d/1XWAQStnk-4SwqDmLtmXYiTMKHgktTP8We1SCoS47DrQ/edit?usp=sharing"",""จัดที่ดิน!W58"")"),121)</f>
        <v>121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IFERROR(__xludf.DUMMYFUNCTION("IMPORTRANGE(""https://docs.google.com/spreadsheets/d/1XWAQStnk-4SwqDmLtmXYiTMKHgktTP8We1SCoS47DrQ/edit?usp=sharing"",""จัดที่ดิน!X58"")"),1375.26)</f>
        <v>1375.26</v>
      </c>
      <c r="K359" s="497">
        <f t="shared" ca="1" si="161"/>
        <v>68.763000000000005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IFERROR(__xludf.DUMMYFUNCTION("IMPORTRANGE(""https://docs.google.com/spreadsheets/d/1XWAQStnk-4SwqDmLtmXYiTMKHgktTP8We1SCoS47DrQ/edit?usp=sharing"",""จัดที่ดิน!Y58"")"),118)</f>
        <v>118</v>
      </c>
      <c r="K360" s="497">
        <f t="shared" ca="1" si="161"/>
        <v>90.769230769230774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IFERROR(__xludf.DUMMYFUNCTION("IMPORTRANGE(""https://docs.google.com/spreadsheets/d/1XWAQStnk-4SwqDmLtmXYiTMKHgktTP8We1SCoS47DrQ/edit?usp=sharing"",""จัดที่ดิน!Z58"")"),1373.09)</f>
        <v>1373.09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IFERROR(__xludf.DUMMYFUNCTION("IMPORTRANGE(""https://docs.google.com/spreadsheets/d/1XWAQStnk-4SwqDmLtmXYiTMKHgktTP8We1SCoS47DrQ/edit?usp=sharing"",""จัดที่ดิน!AA58"")"),78)</f>
        <v>78</v>
      </c>
      <c r="K362" s="497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IFERROR(__xludf.DUMMYFUNCTION("IMPORTRANGE(""https://docs.google.com/spreadsheets/d/1XWAQStnk-4SwqDmLtmXYiTMKHgktTP8We1SCoS47DrQ/edit?usp=sharing"",""จัดที่ดิน!AB58"")"),734.77)</f>
        <v>734.77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300</v>
      </c>
      <c r="K364" s="479">
        <f t="shared" ca="1" si="161"/>
        <v>130.43478260869566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2</v>
      </c>
      <c r="K365" s="491">
        <f t="shared" ca="1" si="161"/>
        <v>6.666666666666667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IFERROR(__xludf.DUMMYFUNCTION("IMPORTRANGE(""https://docs.google.com/spreadsheets/d/1XWAQStnk-4SwqDmLtmXYiTMKHgktTP8We1SCoS47DrQ/edit?usp=sharing"",""จัดที่ดิน!E58"")"),42)</f>
        <v>42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IFERROR(__xludf.DUMMYFUNCTION("IMPORTRANGE(""https://docs.google.com/spreadsheets/d/1XWAQStnk-4SwqDmLtmXYiTMKHgktTP8We1SCoS47DrQ/edit?usp=sharing"",""จัดที่ดิน!F58"")"),644.71)</f>
        <v>644.71</v>
      </c>
      <c r="K369" s="497">
        <f t="shared" ca="1" si="163"/>
        <v>64.471000000000004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IFERROR(__xludf.DUMMYFUNCTION("IMPORTRANGE(""https://docs.google.com/spreadsheets/d/1XWAQStnk-4SwqDmLtmXYiTMKHgktTP8We1SCoS47DrQ/edit?usp=sharing"",""จัดที่ดิน!G58"")"),42)</f>
        <v>42</v>
      </c>
      <c r="K370" s="497">
        <f t="shared" ca="1" si="163"/>
        <v>140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IFERROR(__xludf.DUMMYFUNCTION("IMPORTRANGE(""https://docs.google.com/spreadsheets/d/1XWAQStnk-4SwqDmLtmXYiTMKHgktTP8We1SCoS47DrQ/edit?usp=sharing"",""จัดที่ดิน!H58"")"),673.36)</f>
        <v>673.36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IFERROR(__xludf.DUMMYFUNCTION("IMPORTRANGE(""https://docs.google.com/spreadsheets/d/1XWAQStnk-4SwqDmLtmXYiTMKHgktTP8We1SCoS47DrQ/edit?usp=sharing"",""จัดที่ดิน!I58"")"),2)</f>
        <v>2</v>
      </c>
      <c r="K372" s="497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IFERROR(__xludf.DUMMYFUNCTION("IMPORTRANGE(""https://docs.google.com/spreadsheets/d/1XWAQStnk-4SwqDmLtmXYiTMKHgktTP8We1SCoS47DrQ/edit?usp=sharing"",""จัดที่ดิน!J58"")"),35.04)</f>
        <v>35.04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298</v>
      </c>
      <c r="K374" s="491">
        <f t="shared" ca="1" si="163"/>
        <v>149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IFERROR(__xludf.DUMMYFUNCTION("IMPORTRANGE(""https://docs.google.com/spreadsheets/d/1XWAQStnk-4SwqDmLtmXYiTMKHgktTP8We1SCoS47DrQ/edit?usp=sharing"",""จัดที่ดิน!AH58"")"),79)</f>
        <v>79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IFERROR(__xludf.DUMMYFUNCTION("IMPORTRANGE(""https://docs.google.com/spreadsheets/d/1XWAQStnk-4SwqDmLtmXYiTMKHgktTP8We1SCoS47DrQ/edit?usp=sharing"",""จัดที่ดิน!AI58"")"),730.55)</f>
        <v>730.55</v>
      </c>
      <c r="K378" s="497">
        <f t="shared" ca="1" si="164"/>
        <v>73.055000000000007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IFERROR(__xludf.DUMMYFUNCTION("IMPORTRANGE(""https://docs.google.com/spreadsheets/d/1XWAQStnk-4SwqDmLtmXYiTMKHgktTP8We1SCoS47DrQ/edit?usp=sharing"",""จัดที่ดิน!AJ58"")"),297)</f>
        <v>297</v>
      </c>
      <c r="K379" s="497">
        <f t="shared" ca="1" si="164"/>
        <v>148.5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IFERROR(__xludf.DUMMYFUNCTION("IMPORTRANGE(""https://docs.google.com/spreadsheets/d/1XWAQStnk-4SwqDmLtmXYiTMKHgktTP8We1SCoS47DrQ/edit?usp=sharing"",""จัดที่ดิน!AK58"")"),4220.4)</f>
        <v>4220.3999999999996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IFERROR(__xludf.DUMMYFUNCTION("IMPORTRANGE(""https://docs.google.com/spreadsheets/d/1XWAQStnk-4SwqDmLtmXYiTMKHgktTP8We1SCoS47DrQ/edit?usp=sharing"",""จัดที่ดิน!AL58"")"),298)</f>
        <v>298</v>
      </c>
      <c r="K381" s="497">
        <f t="shared" ca="1" si="164"/>
        <v>149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IFERROR(__xludf.DUMMYFUNCTION("IMPORTRANGE(""https://docs.google.com/spreadsheets/d/1XWAQStnk-4SwqDmLtmXYiTMKHgktTP8We1SCoS47DrQ/edit?usp=sharing"",""จัดที่ดิน!AM58"")"),4226.24)</f>
        <v>4226.24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805893</v>
      </c>
      <c r="N414" s="549">
        <f t="shared" si="181"/>
        <v>226196</v>
      </c>
      <c r="O414" s="549">
        <f ca="1">IF(L414&gt;0,N414*100/L414,0)</f>
        <v>26.740497911674407</v>
      </c>
      <c r="P414" s="549">
        <f ca="1">IF(M414&gt;0,N414*100/M414,0)</f>
        <v>28.067745966275918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39910</v>
      </c>
      <c r="O419" s="155">
        <f t="shared" ref="O419:O424" ca="1" si="185">IF(L419&gt;0,N419*100/L419,0)</f>
        <v>59.9609375</v>
      </c>
      <c r="P419" s="155">
        <f t="shared" ref="P419:P424" ca="1" si="186">IF(M419&gt;0,N419*100/M419,0)</f>
        <v>59.9609375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39910</v>
      </c>
      <c r="O421" s="93">
        <f t="shared" ca="1" si="185"/>
        <v>59.9609375</v>
      </c>
      <c r="P421" s="93">
        <f t="shared" ca="1" si="186"/>
        <v>59.9609375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39910</v>
      </c>
      <c r="O422" s="497">
        <f t="shared" ca="1" si="185"/>
        <v>59.9609375</v>
      </c>
      <c r="P422" s="497">
        <f t="shared" ca="1" si="186"/>
        <v>59.9609375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39910</v>
      </c>
      <c r="O424" s="93">
        <f t="shared" ca="1" si="185"/>
        <v>59.9609375</v>
      </c>
      <c r="P424" s="93">
        <f t="shared" ca="1" si="186"/>
        <v>59.9609375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3610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32028</v>
      </c>
      <c r="O467" s="195">
        <f t="shared" ref="O467:O472" ca="1" si="207">IF(L467&gt;0,N467*100/L467,0)</f>
        <v>17.69277937057722</v>
      </c>
      <c r="P467" s="195">
        <f t="shared" ref="P467:P472" ca="1" si="208">IF(M467&gt;0,N467*100/M467,0)</f>
        <v>17.69277937057722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32028</v>
      </c>
      <c r="O469" s="93">
        <f t="shared" ca="1" si="207"/>
        <v>17.69277937057722</v>
      </c>
      <c r="P469" s="93">
        <f t="shared" ca="1" si="208"/>
        <v>17.69277937057722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32028</v>
      </c>
      <c r="O470" s="497">
        <f t="shared" ca="1" si="207"/>
        <v>17.69277937057722</v>
      </c>
      <c r="P470" s="497">
        <f t="shared" ca="1" si="208"/>
        <v>17.69277937057722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32028</v>
      </c>
      <c r="O472" s="93">
        <f t="shared" ca="1" si="207"/>
        <v>17.69277937057722</v>
      </c>
      <c r="P472" s="93">
        <f t="shared" ca="1" si="208"/>
        <v>17.69277937057722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7125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78138</v>
      </c>
      <c r="O544" s="155">
        <f t="shared" ref="O544:O549" ca="1" si="237">IF(L544&gt;0,N544*100/L544,0)</f>
        <v>29.441597588545591</v>
      </c>
      <c r="P544" s="155">
        <f t="shared" ref="P544:P549" ca="1" si="238">IF(M544&gt;0,N544*100/M544,0)</f>
        <v>34.66637089618456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78138</v>
      </c>
      <c r="O546" s="93">
        <f t="shared" ca="1" si="237"/>
        <v>29.441597588545591</v>
      </c>
      <c r="P546" s="93">
        <f t="shared" ca="1" si="238"/>
        <v>34.66637089618456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78138</v>
      </c>
      <c r="O547" s="497">
        <f t="shared" ca="1" si="237"/>
        <v>29.441597588545591</v>
      </c>
      <c r="P547" s="497">
        <f t="shared" ca="1" si="238"/>
        <v>34.66637089618456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78138</v>
      </c>
      <c r="O549" s="93">
        <f t="shared" ca="1" si="237"/>
        <v>29.441597588545591</v>
      </c>
      <c r="P549" s="93">
        <f t="shared" ca="1" si="238"/>
        <v>34.66637089618456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65000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13138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332910</v>
      </c>
      <c r="N629" s="195">
        <f t="shared" si="263"/>
        <v>76120</v>
      </c>
      <c r="O629" s="195">
        <f t="shared" ref="O629:O634" ca="1" si="264">IF(L629&gt;0,N629*100/L629,0)</f>
        <v>22.865038599020757</v>
      </c>
      <c r="P629" s="195">
        <f t="shared" ref="P629:P634" ca="1" si="265">IF(M629&gt;0,N629*100/M629,0)</f>
        <v>22.865038599020757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332910</v>
      </c>
      <c r="N631" s="93">
        <f t="shared" si="266"/>
        <v>76120</v>
      </c>
      <c r="O631" s="93">
        <f t="shared" ca="1" si="264"/>
        <v>22.865038599020757</v>
      </c>
      <c r="P631" s="93">
        <f t="shared" ca="1" si="265"/>
        <v>22.865038599020757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332910</v>
      </c>
      <c r="N632" s="497">
        <f t="shared" si="267"/>
        <v>76120</v>
      </c>
      <c r="O632" s="497">
        <f t="shared" ca="1" si="264"/>
        <v>22.865038599020757</v>
      </c>
      <c r="P632" s="497">
        <f t="shared" ca="1" si="265"/>
        <v>22.865038599020757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</f>
        <v>332910</v>
      </c>
      <c r="N634" s="93">
        <f>N635+N636+N637+N638</f>
        <v>76120</v>
      </c>
      <c r="O634" s="93">
        <f t="shared" ca="1" si="264"/>
        <v>22.865038599020757</v>
      </c>
      <c r="P634" s="93">
        <f t="shared" ca="1" si="265"/>
        <v>22.865038599020757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65000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11120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IFERROR(__xludf.DUMMYFUNCTION("IMPORTRANGE(""https://docs.google.com/spreadsheets/d/1XWAQStnk-4SwqDmLtmXYiTMKHgktTP8We1SCoS47DrQ/edit?usp=sharing"",""จัดที่ดิน!AU58"")"),2)</f>
        <v>2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IFERROR(__xludf.DUMMYFUNCTION("IMPORTRANGE(""https://docs.google.com/spreadsheets/d/1XWAQStnk-4SwqDmLtmXYiTMKHgktTP8We1SCoS47DrQ/edit?usp=sharing"",""จัดที่ดิน!AV58"")"),2.65)</f>
        <v>2.65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IFERROR(__xludf.DUMMYFUNCTION("IMPORTRANGE(""https://docs.google.com/spreadsheets/d/19vJNZY_5yjcGF2XGBMNZRCAIB0Kwfpjp8YEOfu-bneM/edit?usp=sharing"",""งานกองทุน!F58"")"),440000)</f>
        <v>440000</v>
      </c>
      <c r="K821" s="497">
        <f t="shared" ref="K821:K828" ca="1" si="335">IF(I821&gt;0,J821*100/I821,0)</f>
        <v>18.892228424216402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IFERROR(__xludf.DUMMYFUNCTION("IMPORTRANGE(""https://docs.google.com/spreadsheets/d/19vJNZY_5yjcGF2XGBMNZRCAIB0Kwfpjp8YEOfu-bneM/edit?usp=sharing"",""งานกองทุน!E58"")"),24)</f>
        <v>24</v>
      </c>
      <c r="K822" s="497">
        <f t="shared" ca="1" si="335"/>
        <v>21.818181818181817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IFERROR(__xludf.DUMMYFUNCTION("IMPORTRANGE(""https://docs.google.com/spreadsheets/d/19vJNZY_5yjcGF2XGBMNZRCAIB0Kwfpjp8YEOfu-bneM/edit?usp=sharing"",""งานกองทุน!K58"")"),165413.84)</f>
        <v>165413.84</v>
      </c>
      <c r="K823" s="497">
        <f t="shared" ca="1" si="335"/>
        <v>17.125086759673991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IFERROR(__xludf.DUMMYFUNCTION("IMPORTRANGE(""https://docs.google.com/spreadsheets/d/19vJNZY_5yjcGF2XGBMNZRCAIB0Kwfpjp8YEOfu-bneM/edit?usp=sharing"",""งานกองทุน!J58"")"),16)</f>
        <v>16</v>
      </c>
      <c r="K824" s="497">
        <f t="shared" ca="1" si="335"/>
        <v>43.243243243243242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IFERROR(__xludf.DUMMYFUNCTION("IMPORTRANGE(""https://docs.google.com/spreadsheets/d/19vJNZY_5yjcGF2XGBMNZRCAIB0Kwfpjp8YEOfu-bneM/edit?usp=sharing"",""งานกองทุน!U58"")"),630000)</f>
        <v>630000</v>
      </c>
      <c r="K827" s="497">
        <f t="shared" ca="1" si="335"/>
        <v>18.918918918918919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IFERROR(__xludf.DUMMYFUNCTION("IMPORTRANGE(""https://docs.google.com/spreadsheets/d/19vJNZY_5yjcGF2XGBMNZRCAIB0Kwfpjp8YEOfu-bneM/edit?usp=sharing"",""งานกองทุน!T58"")"),28)</f>
        <v>28</v>
      </c>
      <c r="K828" s="502">
        <f t="shared" ca="1" si="335"/>
        <v>21.05263157894737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64EB-629C-46A8-813E-08282020890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2811970</v>
      </c>
      <c r="N8" s="22">
        <f t="shared" ca="1" si="0"/>
        <v>1992934</v>
      </c>
      <c r="O8" s="22">
        <f t="shared" ref="O8:O16" ca="1" si="1">IF(L8&gt;0,N8*100/L8,0)</f>
        <v>60.520132037254669</v>
      </c>
      <c r="P8" s="22">
        <f t="shared" ref="P8:P16" ca="1" si="2">IF(M8&gt;0,N8*100/M8,0)</f>
        <v>70.873231222239212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2811970</v>
      </c>
      <c r="N10" s="30">
        <f t="shared" ca="1" si="3"/>
        <v>1992934</v>
      </c>
      <c r="O10" s="30">
        <f t="shared" ca="1" si="1"/>
        <v>60.520132037254669</v>
      </c>
      <c r="P10" s="30">
        <f t="shared" ca="1" si="2"/>
        <v>70.873231222239212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2638570</v>
      </c>
      <c r="N11" s="497">
        <f t="shared" ca="1" si="4"/>
        <v>1819534</v>
      </c>
      <c r="O11" s="497">
        <f t="shared" ca="1" si="1"/>
        <v>58.325688146915802</v>
      </c>
      <c r="P11" s="497">
        <f t="shared" ca="1" si="2"/>
        <v>68.959095267512325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2638570</v>
      </c>
      <c r="N13" s="93">
        <f t="shared" ca="1" si="5"/>
        <v>1819534</v>
      </c>
      <c r="O13" s="93">
        <f t="shared" ca="1" si="1"/>
        <v>58.325688146915802</v>
      </c>
      <c r="P13" s="93">
        <f t="shared" ca="1" si="2"/>
        <v>68.959095267512325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2288460</v>
      </c>
      <c r="N18" s="22">
        <f t="shared" ca="1" si="8"/>
        <v>1711029</v>
      </c>
      <c r="O18" s="22">
        <f t="shared" ref="O18:O26" ca="1" si="9">IF(L18&gt;0,N18*100/L18,0)</f>
        <v>61.781151832460736</v>
      </c>
      <c r="P18" s="22">
        <f t="shared" ref="P18:P26" ca="1" si="10">IF(M18&gt;0,N18*100/M18,0)</f>
        <v>74.76770404551533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2288460</v>
      </c>
      <c r="N20" s="30">
        <f t="shared" ca="1" si="11"/>
        <v>1711029</v>
      </c>
      <c r="O20" s="30">
        <f t="shared" ca="1" si="9"/>
        <v>61.781151832460736</v>
      </c>
      <c r="P20" s="30">
        <f t="shared" ca="1" si="10"/>
        <v>74.76770404551533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2115060</v>
      </c>
      <c r="N21" s="497">
        <f t="shared" ca="1" si="12"/>
        <v>1537629</v>
      </c>
      <c r="O21" s="497">
        <f t="shared" ca="1" si="9"/>
        <v>59.228419552405533</v>
      </c>
      <c r="P21" s="497">
        <f t="shared" ca="1" si="10"/>
        <v>72.699072366741376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2115060</v>
      </c>
      <c r="N23" s="93">
        <f t="shared" ca="1" si="13"/>
        <v>1537629</v>
      </c>
      <c r="O23" s="93">
        <f t="shared" ca="1" si="9"/>
        <v>59.228419552405533</v>
      </c>
      <c r="P23" s="93">
        <f t="shared" ca="1" si="10"/>
        <v>72.699072366741376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281905</v>
      </c>
      <c r="O28" s="22">
        <f t="shared" ref="O28:O37" ca="1" si="17">IF(L28&gt;0,N28*100/L28,0)</f>
        <v>53.849019120933697</v>
      </c>
      <c r="P28" s="22">
        <f t="shared" ref="P28:P37" ca="1" si="18">IF(M28&gt;0,N28*100/M28,0)</f>
        <v>53.849019120933697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281905</v>
      </c>
      <c r="O30" s="30">
        <f t="shared" ca="1" si="17"/>
        <v>53.849019120933697</v>
      </c>
      <c r="P30" s="30">
        <f t="shared" ca="1" si="18"/>
        <v>53.849019120933697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523510</v>
      </c>
      <c r="N31" s="497">
        <f t="shared" si="20"/>
        <v>281905</v>
      </c>
      <c r="O31" s="497">
        <f t="shared" ca="1" si="17"/>
        <v>53.849019120933697</v>
      </c>
      <c r="P31" s="497">
        <f t="shared" ca="1" si="18"/>
        <v>53.849019120933697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523510</v>
      </c>
      <c r="N33" s="93">
        <f t="shared" si="21"/>
        <v>281905</v>
      </c>
      <c r="O33" s="93">
        <f t="shared" ca="1" si="17"/>
        <v>53.849019120933697</v>
      </c>
      <c r="P33" s="93">
        <f t="shared" ca="1" si="18"/>
        <v>53.849019120933697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2288460</v>
      </c>
      <c r="N37" s="59">
        <f t="shared" ca="1" si="24"/>
        <v>1711029</v>
      </c>
      <c r="O37" s="59">
        <f t="shared" ca="1" si="17"/>
        <v>61.781151832460736</v>
      </c>
      <c r="P37" s="59">
        <f t="shared" ca="1" si="18"/>
        <v>74.76770404551533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328340</v>
      </c>
      <c r="N41" s="85">
        <f t="shared" ca="1" si="25"/>
        <v>208731</v>
      </c>
      <c r="O41" s="85">
        <f t="shared" ref="O41:O49" ca="1" si="26">IF(L41&gt;0,N41*100/L41,0)</f>
        <v>66.443100429731018</v>
      </c>
      <c r="P41" s="85">
        <f t="shared" ref="P41:P49" ca="1" si="27">IF(M41&gt;0,N41*100/M41,0)</f>
        <v>63.571602607053663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328340</v>
      </c>
      <c r="N43" s="92">
        <f t="shared" ca="1" si="28"/>
        <v>208731</v>
      </c>
      <c r="O43" s="92">
        <f t="shared" ca="1" si="26"/>
        <v>66.443100429731018</v>
      </c>
      <c r="P43" s="92">
        <f t="shared" ca="1" si="27"/>
        <v>63.571602607053663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328340</v>
      </c>
      <c r="N44" s="497">
        <f t="shared" ca="1" si="29"/>
        <v>208731</v>
      </c>
      <c r="O44" s="497">
        <f t="shared" ca="1" si="26"/>
        <v>66.443100429731018</v>
      </c>
      <c r="P44" s="497">
        <f t="shared" ca="1" si="27"/>
        <v>63.571602607053663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IFERROR(__xludf.DUMMYFUNCTION("IMPORTRANGE(""https://docs.google.com/spreadsheets/d/1MeEWN-I1oV_STSDYn1IFDPWt_1FKiwhDph83XaGc0o0/edit?usp=sharing"",""งบพรบ!R59"")"),328340)</f>
        <v>328340</v>
      </c>
      <c r="N46" s="93">
        <f ca="1">IFERROR(__xludf.DUMMYFUNCTION("IMPORTRANGE(""https://docs.google.com/spreadsheets/d/1MeEWN-I1oV_STSDYn1IFDPWt_1FKiwhDph83XaGc0o0/edit?usp=sharing"",""งบพรบ!T59"")"),208731)</f>
        <v>208731</v>
      </c>
      <c r="O46" s="93">
        <f t="shared" ca="1" si="26"/>
        <v>66.443100429731018</v>
      </c>
      <c r="P46" s="93">
        <f t="shared" ca="1" si="27"/>
        <v>63.571602607053663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485250</v>
      </c>
      <c r="N53" s="116">
        <f t="shared" ca="1" si="31"/>
        <v>388648.34</v>
      </c>
      <c r="O53" s="116">
        <f t="shared" ref="O53:O61" ca="1" si="32">IF(L53&gt;0,N53*100/L53,0)</f>
        <v>60.069295208655333</v>
      </c>
      <c r="P53" s="116">
        <f t="shared" ref="P53:P61" ca="1" si="33">IF(M53&gt;0,N53*100/M53,0)</f>
        <v>80.092393611540444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485250</v>
      </c>
      <c r="N55" s="123">
        <f t="shared" ca="1" si="34"/>
        <v>388648.34</v>
      </c>
      <c r="O55" s="123">
        <f t="shared" ca="1" si="32"/>
        <v>60.069295208655333</v>
      </c>
      <c r="P55" s="123">
        <f t="shared" ca="1" si="33"/>
        <v>80.092393611540444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485250</v>
      </c>
      <c r="N56" s="497">
        <f t="shared" ca="1" si="35"/>
        <v>388648.34</v>
      </c>
      <c r="O56" s="497">
        <f t="shared" ca="1" si="32"/>
        <v>60.069295208655333</v>
      </c>
      <c r="P56" s="497">
        <f t="shared" ca="1" si="33"/>
        <v>80.092393611540444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IFERROR(__xludf.DUMMYFUNCTION("IMPORTRANGE(""https://docs.google.com/spreadsheets/d/1MeEWN-I1oV_STSDYn1IFDPWt_1FKiwhDph83XaGc0o0/edit?usp=sharing"",""งบพรบ!AB59"")"),485250)</f>
        <v>485250</v>
      </c>
      <c r="N58" s="93">
        <f ca="1">IFERROR(__xludf.DUMMYFUNCTION("IMPORTRANGE(""https://docs.google.com/spreadsheets/d/1MeEWN-I1oV_STSDYn1IFDPWt_1FKiwhDph83XaGc0o0/edit?usp=sharing"",""งบพรบ!AD59"")"),388648.34)</f>
        <v>388648.34</v>
      </c>
      <c r="O58" s="93">
        <f t="shared" ca="1" si="32"/>
        <v>60.069295208655333</v>
      </c>
      <c r="P58" s="93">
        <f t="shared" ca="1" si="33"/>
        <v>80.092393611540444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117490</v>
      </c>
      <c r="N88" s="155">
        <f t="shared" ca="1" si="49"/>
        <v>63339</v>
      </c>
      <c r="O88" s="155">
        <f t="shared" ref="O88:O96" ca="1" si="50">IF(L88&gt;0,N88*100/L88,0)</f>
        <v>54.630843539761948</v>
      </c>
      <c r="P88" s="155">
        <f t="shared" ref="P88:P96" ca="1" si="51">IF(M88&gt;0,N88*100/M88,0)</f>
        <v>53.910120010213632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117490</v>
      </c>
      <c r="N90" s="93">
        <f t="shared" ca="1" si="52"/>
        <v>63339</v>
      </c>
      <c r="O90" s="93">
        <f t="shared" ca="1" si="50"/>
        <v>54.630843539761948</v>
      </c>
      <c r="P90" s="93">
        <f t="shared" ca="1" si="51"/>
        <v>53.910120010213632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117490</v>
      </c>
      <c r="N91" s="497">
        <f t="shared" ca="1" si="53"/>
        <v>63339</v>
      </c>
      <c r="O91" s="497">
        <f t="shared" ca="1" si="50"/>
        <v>54.630843539761948</v>
      </c>
      <c r="P91" s="497">
        <f t="shared" ca="1" si="51"/>
        <v>53.910120010213632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IFERROR(__xludf.DUMMYFUNCTION("IMPORTRANGE(""https://docs.google.com/spreadsheets/d/1MeEWN-I1oV_STSDYn1IFDPWt_1FKiwhDph83XaGc0o0/edit?usp=sharing"",""งบพรบ!AV59"")"),117490)</f>
        <v>117490</v>
      </c>
      <c r="N93" s="93">
        <f ca="1">IFERROR(__xludf.DUMMYFUNCTION("IMPORTRANGE(""https://docs.google.com/spreadsheets/d/1MeEWN-I1oV_STSDYn1IFDPWt_1FKiwhDph83XaGc0o0/edit?usp=sharing"",""งบพรบ!AX59"")"),63339)</f>
        <v>63339</v>
      </c>
      <c r="O93" s="93">
        <f t="shared" ca="1" si="50"/>
        <v>54.630843539761948</v>
      </c>
      <c r="P93" s="93">
        <f t="shared" ca="1" si="51"/>
        <v>53.910120010213632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249765</v>
      </c>
      <c r="N181" s="155">
        <f t="shared" ca="1" si="92"/>
        <v>161400.66</v>
      </c>
      <c r="O181" s="155">
        <f t="shared" ref="O181:O189" ca="1" si="93">IF(L181&gt;0,N181*100/L181,0)</f>
        <v>58.948378378378379</v>
      </c>
      <c r="P181" s="155">
        <f t="shared" ref="P181:P189" ca="1" si="94">IF(M181&gt;0,N181*100/M181,0)</f>
        <v>64.621007747282448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249765</v>
      </c>
      <c r="N183" s="93">
        <f t="shared" ca="1" si="95"/>
        <v>161400.66</v>
      </c>
      <c r="O183" s="93">
        <f t="shared" ca="1" si="93"/>
        <v>58.948378378378379</v>
      </c>
      <c r="P183" s="93">
        <f t="shared" ca="1" si="94"/>
        <v>64.621007747282448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249765</v>
      </c>
      <c r="N184" s="497">
        <f t="shared" ca="1" si="96"/>
        <v>161400.66</v>
      </c>
      <c r="O184" s="497">
        <f t="shared" ca="1" si="93"/>
        <v>58.948378378378379</v>
      </c>
      <c r="P184" s="497">
        <f t="shared" ca="1" si="94"/>
        <v>64.621007747282448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IFERROR(__xludf.DUMMYFUNCTION("IMPORTRANGE(""https://docs.google.com/spreadsheets/d/1MeEWN-I1oV_STSDYn1IFDPWt_1FKiwhDph83XaGc0o0/edit?usp=sharing"",""งบพรบ!CT59"")"),249765)</f>
        <v>249765</v>
      </c>
      <c r="N186" s="93">
        <f ca="1">IFERROR(__xludf.DUMMYFUNCTION("IMPORTRANGE(""https://docs.google.com/spreadsheets/d/1MeEWN-I1oV_STSDYn1IFDPWt_1FKiwhDph83XaGc0o0/edit?usp=sharing"",""งบพรบ!CV59"")"),161400.66)</f>
        <v>161400.66</v>
      </c>
      <c r="O186" s="93">
        <f t="shared" ca="1" si="93"/>
        <v>58.948378378378379</v>
      </c>
      <c r="P186" s="93">
        <f t="shared" ca="1" si="94"/>
        <v>64.621007747282448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40740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40740</v>
      </c>
      <c r="O238" s="155">
        <f ca="1">IF(L238&gt;0,N238*100/L238,0)</f>
        <v>43.712446351931334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72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72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18948</v>
      </c>
      <c r="O261" s="155">
        <f t="shared" ref="O261:O269" ca="1" si="117">IF(L261&gt;0,N261*100/L261,0)</f>
        <v>70.438661710037181</v>
      </c>
      <c r="P261" s="155">
        <f t="shared" ref="P261:P269" ca="1" si="118">IF(M261&gt;0,N261*100/M261,0)</f>
        <v>79.280334728033466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18948</v>
      </c>
      <c r="O263" s="93">
        <f t="shared" ca="1" si="117"/>
        <v>70.438661710037181</v>
      </c>
      <c r="P263" s="93">
        <f t="shared" ca="1" si="118"/>
        <v>79.280334728033466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18948</v>
      </c>
      <c r="O264" s="497">
        <f t="shared" ca="1" si="117"/>
        <v>70.438661710037181</v>
      </c>
      <c r="P264" s="497">
        <f t="shared" ca="1" si="118"/>
        <v>79.280334728033466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IFERROR(__xludf.DUMMYFUNCTION("IMPORTRANGE(""https://docs.google.com/spreadsheets/d/1MeEWN-I1oV_STSDYn1IFDPWt_1FKiwhDph83XaGc0o0/edit?usp=sharing"",""งบพรบ!DD59"")"),23900)</f>
        <v>23900</v>
      </c>
      <c r="N266" s="93">
        <f ca="1">IFERROR(__xludf.DUMMYFUNCTION("IMPORTRANGE(""https://docs.google.com/spreadsheets/d/1MeEWN-I1oV_STSDYn1IFDPWt_1FKiwhDph83XaGc0o0/edit?usp=sharing"",""งบพรบ!DF59"")"),18948)</f>
        <v>18948</v>
      </c>
      <c r="O266" s="93">
        <f t="shared" ca="1" si="117"/>
        <v>70.438661710037181</v>
      </c>
      <c r="P266" s="93">
        <f t="shared" ca="1" si="118"/>
        <v>79.280334728033466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12330</v>
      </c>
      <c r="O277" s="155">
        <f t="shared" ref="O277:O285" ca="1" si="126">IF(L277&gt;0,N277*100/L277,0)</f>
        <v>54.48519664162616</v>
      </c>
      <c r="P277" s="155">
        <f t="shared" ref="P277:P285" ca="1" si="127">IF(M277&gt;0,N277*100/M277,0)</f>
        <v>94.122137404580158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12330</v>
      </c>
      <c r="O279" s="93">
        <f t="shared" ca="1" si="126"/>
        <v>54.48519664162616</v>
      </c>
      <c r="P279" s="93">
        <f t="shared" ca="1" si="127"/>
        <v>94.122137404580158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12330</v>
      </c>
      <c r="O280" s="497">
        <f t="shared" ca="1" si="126"/>
        <v>54.48519664162616</v>
      </c>
      <c r="P280" s="497">
        <f t="shared" ca="1" si="127"/>
        <v>94.122137404580158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IFERROR(__xludf.DUMMYFUNCTION("IMPORTRANGE(""https://docs.google.com/spreadsheets/d/1MeEWN-I1oV_STSDYn1IFDPWt_1FKiwhDph83XaGc0o0/edit?usp=sharing"",""งบพรบ!DN59"")"),13100)</f>
        <v>13100</v>
      </c>
      <c r="N282" s="93">
        <f ca="1">IFERROR(__xludf.DUMMYFUNCTION("IMPORTRANGE(""https://docs.google.com/spreadsheets/d/1MeEWN-I1oV_STSDYn1IFDPWt_1FKiwhDph83XaGc0o0/edit?usp=sharing"",""งบพรบ!DP59"")"),12330)</f>
        <v>12330</v>
      </c>
      <c r="O282" s="93">
        <f t="shared" ca="1" si="126"/>
        <v>54.48519664162616</v>
      </c>
      <c r="P282" s="93">
        <f t="shared" ca="1" si="127"/>
        <v>94.122137404580158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104273</v>
      </c>
      <c r="O298" s="155">
        <f t="shared" ref="O298:O306" ca="1" si="136">IF(L298&gt;0,N298*100/L298,0)</f>
        <v>50.422147001934235</v>
      </c>
      <c r="P298" s="155">
        <f t="shared" ref="P298:P306" ca="1" si="137">IF(M298&gt;0,N298*100/M298,0)</f>
        <v>67.578094620868441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104273</v>
      </c>
      <c r="O300" s="93">
        <f t="shared" ca="1" si="136"/>
        <v>50.422147001934235</v>
      </c>
      <c r="P300" s="93">
        <f t="shared" ca="1" si="137"/>
        <v>67.578094620868441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104273</v>
      </c>
      <c r="O301" s="497">
        <f t="shared" ca="1" si="136"/>
        <v>50.422147001934235</v>
      </c>
      <c r="P301" s="497">
        <f t="shared" ca="1" si="137"/>
        <v>67.578094620868441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IFERROR(__xludf.DUMMYFUNCTION("IMPORTRANGE(""https://docs.google.com/spreadsheets/d/1MeEWN-I1oV_STSDYn1IFDPWt_1FKiwhDph83XaGc0o0/edit?usp=sharing"",""งบพรบ!DX59"")"),154300)</f>
        <v>154300</v>
      </c>
      <c r="N303" s="93">
        <f ca="1">IFERROR(__xludf.DUMMYFUNCTION("IMPORTRANGE(""https://docs.google.com/spreadsheets/d/1MeEWN-I1oV_STSDYn1IFDPWt_1FKiwhDph83XaGc0o0/edit?usp=sharing"",""งบพรบ!DZ59"")"),104273)</f>
        <v>104273</v>
      </c>
      <c r="O303" s="93">
        <f t="shared" ca="1" si="136"/>
        <v>50.422147001934235</v>
      </c>
      <c r="P303" s="93">
        <f t="shared" ca="1" si="137"/>
        <v>67.578094620868441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738</v>
      </c>
      <c r="K327" s="445">
        <f ca="1">IF(I327&gt;0,J327*100/I327,0)</f>
        <v>123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593650</v>
      </c>
      <c r="N328" s="155">
        <f t="shared" ca="1" si="149"/>
        <v>488959</v>
      </c>
      <c r="O328" s="155">
        <f t="shared" ref="O328:O336" ca="1" si="150">IF(L328&gt;0,N328*100/L328,0)</f>
        <v>62.034889621923369</v>
      </c>
      <c r="P328" s="155">
        <f t="shared" ref="P328:P336" ca="1" si="151">IF(M328&gt;0,N328*100/M328,0)</f>
        <v>82.364861450349537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593650</v>
      </c>
      <c r="N330" s="93">
        <f t="shared" ca="1" si="152"/>
        <v>488959</v>
      </c>
      <c r="O330" s="93">
        <f t="shared" ca="1" si="150"/>
        <v>62.034889621923369</v>
      </c>
      <c r="P330" s="93">
        <f t="shared" ca="1" si="151"/>
        <v>82.364861450349537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593650</v>
      </c>
      <c r="N331" s="497">
        <f t="shared" ca="1" si="153"/>
        <v>488959</v>
      </c>
      <c r="O331" s="497">
        <f t="shared" ca="1" si="150"/>
        <v>62.034889621923369</v>
      </c>
      <c r="P331" s="497">
        <f t="shared" ca="1" si="151"/>
        <v>82.364861450349537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IFERROR(__xludf.DUMMYFUNCTION("IMPORTRANGE(""https://docs.google.com/spreadsheets/d/1MeEWN-I1oV_STSDYn1IFDPWt_1FKiwhDph83XaGc0o0/edit?usp=sharing"",""งบพรบ!ER59"")"),593650)</f>
        <v>593650</v>
      </c>
      <c r="N333" s="93">
        <f ca="1">IFERROR(__xludf.DUMMYFUNCTION("IMPORTRANGE(""https://docs.google.com/spreadsheets/d/1MeEWN-I1oV_STSDYn1IFDPWt_1FKiwhDph83XaGc0o0/edit?usp=sharing"",""งบพรบ!ET59"")"),488959)</f>
        <v>488959</v>
      </c>
      <c r="O333" s="93">
        <f t="shared" ca="1" si="150"/>
        <v>62.034889621923369</v>
      </c>
      <c r="P333" s="93">
        <f t="shared" ca="1" si="151"/>
        <v>82.364861450349537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IFERROR(__xludf.DUMMYFUNCTION("IMPORTRANGE(""https://docs.google.com/spreadsheets/d/1kVcqe37tkHyjCSG3S0O1AXqVkqjo8mSIZil3BcpIysc/edit?usp=sharing"",""ศูนย์!D59"")"),705)</f>
        <v>705</v>
      </c>
      <c r="K338" s="497">
        <f ca="1">IF(I338&gt;0,J338*100/I338,0)</f>
        <v>117.5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322665</v>
      </c>
      <c r="N345" s="155">
        <f t="shared" ca="1" si="155"/>
        <v>264400</v>
      </c>
      <c r="O345" s="155">
        <f t="shared" ref="O345:O353" ca="1" si="156">IF(L345&gt;0,N345*100/L345,0)</f>
        <v>70.680068434559459</v>
      </c>
      <c r="P345" s="155">
        <f t="shared" ref="P345:P353" ca="1" si="157">IF(M345&gt;0,N345*100/M345,0)</f>
        <v>81.942572017417447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322665</v>
      </c>
      <c r="N347" s="93">
        <f t="shared" ca="1" si="158"/>
        <v>264400</v>
      </c>
      <c r="O347" s="93">
        <f t="shared" ca="1" si="156"/>
        <v>70.680068434559459</v>
      </c>
      <c r="P347" s="93">
        <f t="shared" ca="1" si="157"/>
        <v>81.942572017417447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149265</v>
      </c>
      <c r="N348" s="497">
        <f t="shared" ca="1" si="159"/>
        <v>91000</v>
      </c>
      <c r="O348" s="497">
        <f t="shared" ca="1" si="156"/>
        <v>45.345824197727723</v>
      </c>
      <c r="P348" s="497">
        <f t="shared" ca="1" si="157"/>
        <v>60.965397112518005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IFERROR(__xludf.DUMMYFUNCTION("IMPORTRANGE(""https://docs.google.com/spreadsheets/d/1MeEWN-I1oV_STSDYn1IFDPWt_1FKiwhDph83XaGc0o0/edit?usp=sharing"",""งบพรบ!FB59"")"),149265)</f>
        <v>149265</v>
      </c>
      <c r="N350" s="93">
        <f ca="1">IFERROR(__xludf.DUMMYFUNCTION("IMPORTRANGE(""https://docs.google.com/spreadsheets/d/1MeEWN-I1oV_STSDYn1IFDPWt_1FKiwhDph83XaGc0o0/edit?usp=sharing"",""งบพรบ!FD59"")"),91000)</f>
        <v>91000</v>
      </c>
      <c r="O350" s="93">
        <f t="shared" ca="1" si="156"/>
        <v>45.345824197727723</v>
      </c>
      <c r="P350" s="93">
        <f t="shared" ca="1" si="157"/>
        <v>60.965397112518005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IFERROR(__xludf.DUMMYFUNCTION("IMPORTRANGE(""https://docs.google.com/spreadsheets/d/1XWAQStnk-4SwqDmLtmXYiTMKHgktTP8We1SCoS47DrQ/edit?usp=sharing"",""จัดที่ดิน!AJ59"")"),1)</f>
        <v>1</v>
      </c>
      <c r="K379" s="497">
        <f t="shared" ca="1" si="164"/>
        <v>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IFERROR(__xludf.DUMMYFUNCTION("IMPORTRANGE(""https://docs.google.com/spreadsheets/d/1XWAQStnk-4SwqDmLtmXYiTMKHgktTP8We1SCoS47DrQ/edit?usp=sharing"",""จัดที่ดิน!AK59"")"),25.79)</f>
        <v>25.79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523510</v>
      </c>
      <c r="N414" s="549">
        <f t="shared" si="181"/>
        <v>281905</v>
      </c>
      <c r="O414" s="549">
        <f ca="1">IF(L414&gt;0,N414*100/L414,0)</f>
        <v>53.849019120933697</v>
      </c>
      <c r="P414" s="549">
        <f ca="1">IF(M414&gt;0,N414*100/M414,0)</f>
        <v>53.849019120933697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220390</v>
      </c>
      <c r="O419" s="155">
        <f t="shared" ref="O419:O424" ca="1" si="185">IF(L419&gt;0,N419*100/L419,0)</f>
        <v>81.315721506844255</v>
      </c>
      <c r="P419" s="155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220390</v>
      </c>
      <c r="O421" s="93">
        <f t="shared" ca="1" si="185"/>
        <v>81.315721506844255</v>
      </c>
      <c r="P421" s="93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220390</v>
      </c>
      <c r="O422" s="497">
        <f t="shared" ca="1" si="185"/>
        <v>81.315721506844255</v>
      </c>
      <c r="P422" s="497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185"/>
        <v>81.315721506844255</v>
      </c>
      <c r="P424" s="93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220390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28845</v>
      </c>
      <c r="O444" s="195">
        <f t="shared" ref="O444:O449" ca="1" si="198">IF(L444&gt;0,N444*100/L444,0)</f>
        <v>41.171852697687697</v>
      </c>
      <c r="P444" s="195">
        <f t="shared" ref="P444:P449" ca="1" si="199">IF(M444&gt;0,N444*100/M444,0)</f>
        <v>41.171852697687697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28845</v>
      </c>
      <c r="O446" s="93">
        <f t="shared" ca="1" si="198"/>
        <v>41.171852697687697</v>
      </c>
      <c r="P446" s="93">
        <f t="shared" ca="1" si="199"/>
        <v>41.171852697687697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28845</v>
      </c>
      <c r="O447" s="497">
        <f t="shared" ca="1" si="198"/>
        <v>41.171852697687697</v>
      </c>
      <c r="P447" s="497">
        <f t="shared" ca="1" si="199"/>
        <v>41.171852697687697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28845</v>
      </c>
      <c r="O449" s="93">
        <f t="shared" ca="1" si="198"/>
        <v>41.171852697687697</v>
      </c>
      <c r="P449" s="93">
        <f t="shared" ca="1" si="199"/>
        <v>41.171852697687697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29830</v>
      </c>
      <c r="O544" s="155">
        <f t="shared" ref="O544:O549" ca="1" si="237">IF(L544&gt;0,N544*100/L544,0)</f>
        <v>24.796342477140481</v>
      </c>
      <c r="P544" s="155">
        <f t="shared" ref="P544:P549" ca="1" si="238">IF(M544&gt;0,N544*100/M544,0)</f>
        <v>24.796342477140481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29830</v>
      </c>
      <c r="O546" s="93">
        <f t="shared" ca="1" si="237"/>
        <v>24.796342477140481</v>
      </c>
      <c r="P546" s="93">
        <f t="shared" ca="1" si="238"/>
        <v>24.796342477140481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29830</v>
      </c>
      <c r="O547" s="497">
        <f t="shared" ca="1" si="237"/>
        <v>24.796342477140481</v>
      </c>
      <c r="P547" s="497">
        <f t="shared" ca="1" si="238"/>
        <v>24.796342477140481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29830</v>
      </c>
      <c r="O549" s="93">
        <f t="shared" ca="1" si="237"/>
        <v>24.796342477140481</v>
      </c>
      <c r="P549" s="93">
        <f t="shared" ca="1" si="238"/>
        <v>24.796342477140481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27010+1580+1240</f>
        <v>29830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1786.1755000000001</v>
      </c>
      <c r="K592" s="672">
        <f t="shared" ref="K592:K594" ca="1" si="254">IF(I592&gt;0,J592*100/I592,0)</f>
        <v>50.453371937010104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1786.1755000000001</v>
      </c>
      <c r="K593" s="411">
        <f t="shared" ca="1" si="254"/>
        <v>50.453371937010104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85</v>
      </c>
      <c r="K594" s="411">
        <f t="shared" ca="1" si="254"/>
        <v>46.961325966850829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1599.798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76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1599.798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76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186.3775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186.3775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0</v>
      </c>
      <c r="O658" s="497">
        <f t="shared" ca="1" si="274"/>
        <v>0</v>
      </c>
      <c r="P658" s="497">
        <f t="shared" ca="1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54320</v>
      </c>
      <c r="N685" s="195">
        <f t="shared" si="282"/>
        <v>2840</v>
      </c>
      <c r="O685" s="195">
        <f t="shared" ref="O685:O688" ca="1" si="283">IF(L685&gt;0,N685*100/L685,0)</f>
        <v>5.2282768777614139</v>
      </c>
      <c r="P685" s="195">
        <f t="shared" ref="P685:P688" ca="1" si="284">IF(M685&gt;0,N685*100/M685,0)</f>
        <v>5.2282768777614139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54320</v>
      </c>
      <c r="N687" s="93">
        <f t="shared" si="285"/>
        <v>2840</v>
      </c>
      <c r="O687" s="93">
        <f t="shared" ca="1" si="283"/>
        <v>5.2282768777614139</v>
      </c>
      <c r="P687" s="93">
        <f t="shared" ca="1" si="284"/>
        <v>5.2282768777614139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54320</v>
      </c>
      <c r="N688" s="497">
        <f t="shared" si="286"/>
        <v>2840</v>
      </c>
      <c r="O688" s="497">
        <f t="shared" ca="1" si="283"/>
        <v>5.2282768777614139</v>
      </c>
      <c r="P688" s="497">
        <f t="shared" ca="1" si="284"/>
        <v>5.2282768777614139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</f>
        <v>54320</v>
      </c>
      <c r="N690" s="93">
        <f>N691+N692+N693+N694</f>
        <v>2840</v>
      </c>
      <c r="O690" s="93">
        <f ca="1">IF(L690&gt;0,N690*100/L690,0)</f>
        <v>5.2282768777614139</v>
      </c>
      <c r="P690" s="93">
        <f ca="1">IF(M690&gt;0,N690*100/M690,0)</f>
        <v>5.2282768777614139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1360+1480</f>
        <v>2840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6</v>
      </c>
      <c r="K721" s="195">
        <f t="shared" ca="1" si="291"/>
        <v>16.666666666666668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50.41</v>
      </c>
      <c r="K722" s="195">
        <f t="shared" ca="1" si="291"/>
        <v>14.361823361823362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IFERROR(__xludf.DUMMYFUNCTION("IMPORTRANGE(""https://docs.google.com/spreadsheets/d/1XWAQStnk-4SwqDmLtmXYiTMKHgktTP8We1SCoS47DrQ/edit?usp=sharing"",""จัดที่ดิน!BM59"")"),2)</f>
        <v>2</v>
      </c>
      <c r="K723" s="497">
        <f t="shared" ca="1" si="291"/>
        <v>11.764705882352942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IFERROR(__xludf.DUMMYFUNCTION("IMPORTRANGE(""https://docs.google.com/spreadsheets/d/1XWAQStnk-4SwqDmLtmXYiTMKHgktTP8We1SCoS47DrQ/edit?usp=sharing"",""จัดที่ดิน!BN59"")"),3)</f>
        <v>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IFERROR(__xludf.DUMMYFUNCTION("IMPORTRANGE(""https://docs.google.com/spreadsheets/d/1XWAQStnk-4SwqDmLtmXYiTMKHgktTP8We1SCoS47DrQ/edit?usp=sharing"",""จัดที่ดิน!BO59"")"),23.04)</f>
        <v>23.04</v>
      </c>
      <c r="K725" s="497">
        <f t="shared" ref="K725:K726" ca="1" si="292">IF(I725&gt;0,J725*100/I725,0)</f>
        <v>10.472727272727273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159.80000000000001</v>
      </c>
      <c r="K729" s="195">
        <f t="shared" ca="1" si="293"/>
        <v>121.9847328244275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100.7525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70">
        <f ca="1">IFERROR(__xludf.DUMMYFUNCTION("IMPORTRANGE(""https://docs.google.com/spreadsheets/d/19vJNZY_5yjcGF2XGBMNZRCAIB0Kwfpjp8YEOfu-bneM/edit?usp=sharing"",""งานกองทุน!F59"")"),2162186.01)</f>
        <v>2162186.0099999998</v>
      </c>
      <c r="K821" s="497">
        <f t="shared" ref="K821:K828" ca="1" si="335">IF(I821&gt;0,J821*100/I821,0)</f>
        <v>77.01884907291246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IFERROR(__xludf.DUMMYFUNCTION("IMPORTRANGE(""https://docs.google.com/spreadsheets/d/19vJNZY_5yjcGF2XGBMNZRCAIB0Kwfpjp8YEOfu-bneM/edit?usp=sharing"",""งานกองทุน!C59"")"),104)</f>
        <v>104</v>
      </c>
      <c r="J822" s="270">
        <f ca="1">IFERROR(__xludf.DUMMYFUNCTION("IMPORTRANGE(""https://docs.google.com/spreadsheets/d/19vJNZY_5yjcGF2XGBMNZRCAIB0Kwfpjp8YEOfu-bneM/edit?usp=sharing"",""งานกองทุน!E59"")"),77)</f>
        <v>77</v>
      </c>
      <c r="K822" s="497">
        <f t="shared" ca="1" si="335"/>
        <v>74.038461538461533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IFERROR(__xludf.DUMMYFUNCTION("IMPORTRANGE(""https://docs.google.com/spreadsheets/d/19vJNZY_5yjcGF2XGBMNZRCAIB0Kwfpjp8YEOfu-bneM/edit?usp=sharing"",""งานกองทุน!K59"")"),175580.07)</f>
        <v>175580.07</v>
      </c>
      <c r="K823" s="497">
        <f t="shared" ca="1" si="335"/>
        <v>4.2161388631053303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IFERROR(__xludf.DUMMYFUNCTION("IMPORTRANGE(""https://docs.google.com/spreadsheets/d/19vJNZY_5yjcGF2XGBMNZRCAIB0Kwfpjp8YEOfu-bneM/edit?usp=sharing"",""งานกองทุน!J59"")"),25)</f>
        <v>25</v>
      </c>
      <c r="K824" s="497">
        <f t="shared" ca="1" si="335"/>
        <v>20.325203252032519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IFERROR(__xludf.DUMMYFUNCTION("IMPORTRANGE(""https://docs.google.com/spreadsheets/d/19vJNZY_5yjcGF2XGBMNZRCAIB0Kwfpjp8YEOfu-bneM/edit?usp=sharing"",""งานกองทุน!P59"")"),2209964.09)</f>
        <v>2209964.09</v>
      </c>
      <c r="K825" s="497">
        <f t="shared" ca="1" si="335"/>
        <v>42.601781700617003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IFERROR(__xludf.DUMMYFUNCTION("IMPORTRANGE(""https://docs.google.com/spreadsheets/d/19vJNZY_5yjcGF2XGBMNZRCAIB0Kwfpjp8YEOfu-bneM/edit?usp=sharing"",""งานกองทุน!O59"")"),1155)</f>
        <v>1155</v>
      </c>
      <c r="K826" s="497">
        <f t="shared" ca="1" si="335"/>
        <v>60.88560885608856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IFERROR(__xludf.DUMMYFUNCTION("IMPORTRANGE(""https://docs.google.com/spreadsheets/d/19vJNZY_5yjcGF2XGBMNZRCAIB0Kwfpjp8YEOfu-bneM/edit?usp=sharing"",""งานกองทุน!U59"")"),2110000)</f>
        <v>2110000</v>
      </c>
      <c r="K827" s="497">
        <f t="shared" ca="1" si="335"/>
        <v>75.088967971530252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IFERROR(__xludf.DUMMYFUNCTION("IMPORTRANGE(""https://docs.google.com/spreadsheets/d/19vJNZY_5yjcGF2XGBMNZRCAIB0Kwfpjp8YEOfu-bneM/edit?usp=sharing"",""งานกองทุน!T59"")"),61)</f>
        <v>61</v>
      </c>
      <c r="K828" s="502">
        <f t="shared" ca="1" si="335"/>
        <v>54.954954954954957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38E9B-6841-40E4-8E8B-06BB1ABA3FB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383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1892923.98</v>
      </c>
      <c r="N8" s="22">
        <f t="shared" ca="1" si="0"/>
        <v>1514254.28</v>
      </c>
      <c r="O8" s="22">
        <f t="shared" ref="O8:O16" ca="1" si="1">IF(L8&gt;0,N8*100/L8,0)</f>
        <v>68.259001665618612</v>
      </c>
      <c r="P8" s="22">
        <f t="shared" ref="P8:P16" ca="1" si="2">IF(M8&gt;0,N8*100/M8,0)</f>
        <v>79.995514664038438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1892923.98</v>
      </c>
      <c r="N10" s="30">
        <f t="shared" ca="1" si="3"/>
        <v>1514254.28</v>
      </c>
      <c r="O10" s="30">
        <f t="shared" ca="1" si="1"/>
        <v>68.259001665618612</v>
      </c>
      <c r="P10" s="30">
        <f t="shared" ca="1" si="2"/>
        <v>79.995514664038438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1855123.98</v>
      </c>
      <c r="N11" s="497">
        <f t="shared" ca="1" si="4"/>
        <v>1476454.28</v>
      </c>
      <c r="O11" s="497">
        <f t="shared" ca="1" si="1"/>
        <v>67.708780401679363</v>
      </c>
      <c r="P11" s="497">
        <f t="shared" ca="1" si="2"/>
        <v>79.587903337867473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1855123.98</v>
      </c>
      <c r="N13" s="93">
        <f t="shared" ca="1" si="5"/>
        <v>1476454.28</v>
      </c>
      <c r="O13" s="93">
        <f t="shared" ca="1" si="1"/>
        <v>67.708780401679363</v>
      </c>
      <c r="P13" s="93">
        <f t="shared" ca="1" si="2"/>
        <v>79.587903337867473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1704093.98</v>
      </c>
      <c r="N18" s="22">
        <f t="shared" ca="1" si="8"/>
        <v>1404854.28</v>
      </c>
      <c r="O18" s="22">
        <f t="shared" ref="O18:O26" ca="1" si="9">IF(L18&gt;0,N18*100/L18,0)</f>
        <v>69.230051422812807</v>
      </c>
      <c r="P18" s="22">
        <f t="shared" ref="P18:P26" ca="1" si="10">IF(M18&gt;0,N18*100/M18,0)</f>
        <v>82.439953223706596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1704093.98</v>
      </c>
      <c r="N20" s="30">
        <f t="shared" ca="1" si="11"/>
        <v>1404854.28</v>
      </c>
      <c r="O20" s="30">
        <f t="shared" ca="1" si="9"/>
        <v>69.230051422812807</v>
      </c>
      <c r="P20" s="30">
        <f t="shared" ca="1" si="10"/>
        <v>82.439953223706596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1666293.98</v>
      </c>
      <c r="N21" s="497">
        <f t="shared" ca="1" si="12"/>
        <v>1367054.28</v>
      </c>
      <c r="O21" s="497">
        <f t="shared" ca="1" si="9"/>
        <v>68.646004052313515</v>
      </c>
      <c r="P21" s="497">
        <f t="shared" ca="1" si="10"/>
        <v>82.041602286770555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1666293.98</v>
      </c>
      <c r="N23" s="93">
        <f t="shared" ca="1" si="13"/>
        <v>1367054.28</v>
      </c>
      <c r="O23" s="93">
        <f t="shared" ca="1" si="9"/>
        <v>68.646004052313515</v>
      </c>
      <c r="P23" s="93">
        <f t="shared" ca="1" si="10"/>
        <v>82.041602286770555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109400</v>
      </c>
      <c r="O28" s="22">
        <f t="shared" ref="O28:O37" ca="1" si="17">IF(L28&gt;0,N28*100/L28,0)</f>
        <v>57.840752881463466</v>
      </c>
      <c r="P28" s="22">
        <f t="shared" ref="P28:P37" ca="1" si="18">IF(M28&gt;0,N28*100/M28,0)</f>
        <v>57.935709368214795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109400</v>
      </c>
      <c r="O30" s="30">
        <f t="shared" ca="1" si="17"/>
        <v>57.840752881463466</v>
      </c>
      <c r="P30" s="30">
        <f t="shared" ca="1" si="18"/>
        <v>57.935709368214795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188830</v>
      </c>
      <c r="N31" s="497">
        <f t="shared" si="20"/>
        <v>109400</v>
      </c>
      <c r="O31" s="497">
        <f t="shared" ca="1" si="17"/>
        <v>57.840752881463466</v>
      </c>
      <c r="P31" s="497">
        <f t="shared" ca="1" si="18"/>
        <v>57.935709368214795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188830</v>
      </c>
      <c r="N33" s="93">
        <f t="shared" si="21"/>
        <v>109400</v>
      </c>
      <c r="O33" s="93">
        <f t="shared" ca="1" si="17"/>
        <v>57.840752881463466</v>
      </c>
      <c r="P33" s="93">
        <f t="shared" ca="1" si="18"/>
        <v>57.935709368214795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1704093.98</v>
      </c>
      <c r="N37" s="59">
        <f t="shared" ca="1" si="24"/>
        <v>1404854.28</v>
      </c>
      <c r="O37" s="59">
        <f t="shared" ca="1" si="17"/>
        <v>69.230051422812807</v>
      </c>
      <c r="P37" s="59">
        <f t="shared" ca="1" si="18"/>
        <v>82.439953223706596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318688.98</v>
      </c>
      <c r="N41" s="85">
        <f t="shared" ca="1" si="25"/>
        <v>227672.44</v>
      </c>
      <c r="O41" s="85">
        <f t="shared" ref="O41:O49" ca="1" si="26">IF(L41&gt;0,N41*100/L41,0)</f>
        <v>77.59796864349012</v>
      </c>
      <c r="P41" s="85">
        <f t="shared" ref="P41:P49" ca="1" si="27">IF(M41&gt;0,N41*100/M41,0)</f>
        <v>71.440324042582205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318688.98</v>
      </c>
      <c r="N43" s="92">
        <f t="shared" ca="1" si="28"/>
        <v>227672.44</v>
      </c>
      <c r="O43" s="92">
        <f t="shared" ca="1" si="26"/>
        <v>77.59796864349012</v>
      </c>
      <c r="P43" s="92">
        <f t="shared" ca="1" si="27"/>
        <v>71.440324042582205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318688.98</v>
      </c>
      <c r="N44" s="497">
        <f t="shared" ca="1" si="29"/>
        <v>227672.44</v>
      </c>
      <c r="O44" s="497">
        <f t="shared" ca="1" si="26"/>
        <v>77.59796864349012</v>
      </c>
      <c r="P44" s="497">
        <f t="shared" ca="1" si="27"/>
        <v>71.440324042582205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IFERROR(__xludf.DUMMYFUNCTION("IMPORTRANGE(""https://docs.google.com/spreadsheets/d/1MeEWN-I1oV_STSDYn1IFDPWt_1FKiwhDph83XaGc0o0/edit?usp=sharing"",""งบพรบ!R60"")"),318688.98)</f>
        <v>318688.98</v>
      </c>
      <c r="N46" s="93">
        <f ca="1">IFERROR(__xludf.DUMMYFUNCTION("IMPORTRANGE(""https://docs.google.com/spreadsheets/d/1MeEWN-I1oV_STSDYn1IFDPWt_1FKiwhDph83XaGc0o0/edit?usp=sharing"",""งบพรบ!T60"")"),227672.44)</f>
        <v>227672.44</v>
      </c>
      <c r="O46" s="93">
        <f t="shared" ca="1" si="26"/>
        <v>77.59796864349012</v>
      </c>
      <c r="P46" s="93">
        <f t="shared" ca="1" si="27"/>
        <v>71.440324042582205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483620</v>
      </c>
      <c r="N53" s="116">
        <f t="shared" ca="1" si="31"/>
        <v>432220.96</v>
      </c>
      <c r="O53" s="116">
        <f t="shared" ref="O53:O61" ca="1" si="32">IF(L53&gt;0,N53*100/L53,0)</f>
        <v>76.256344389555395</v>
      </c>
      <c r="P53" s="116">
        <f t="shared" ref="P53:P61" ca="1" si="33">IF(M53&gt;0,N53*100/M53,0)</f>
        <v>89.372019354038301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483620</v>
      </c>
      <c r="N55" s="123">
        <f t="shared" ca="1" si="34"/>
        <v>432220.96</v>
      </c>
      <c r="O55" s="123">
        <f t="shared" ca="1" si="32"/>
        <v>76.256344389555395</v>
      </c>
      <c r="P55" s="123">
        <f t="shared" ca="1" si="33"/>
        <v>89.372019354038301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483620</v>
      </c>
      <c r="N56" s="497">
        <f t="shared" ca="1" si="35"/>
        <v>432220.96</v>
      </c>
      <c r="O56" s="497">
        <f t="shared" ca="1" si="32"/>
        <v>76.256344389555395</v>
      </c>
      <c r="P56" s="497">
        <f t="shared" ca="1" si="33"/>
        <v>89.372019354038301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IFERROR(__xludf.DUMMYFUNCTION("IMPORTRANGE(""https://docs.google.com/spreadsheets/d/1MeEWN-I1oV_STSDYn1IFDPWt_1FKiwhDph83XaGc0o0/edit?usp=sharing"",""งบพรบ!AB60"")"),483620)</f>
        <v>483620</v>
      </c>
      <c r="N58" s="93">
        <f ca="1">IFERROR(__xludf.DUMMYFUNCTION("IMPORTRANGE(""https://docs.google.com/spreadsheets/d/1MeEWN-I1oV_STSDYn1IFDPWt_1FKiwhDph83XaGc0o0/edit?usp=sharing"",""งบพรบ!AD60"")"),432220.96)</f>
        <v>432220.96</v>
      </c>
      <c r="O58" s="93">
        <f t="shared" ca="1" si="32"/>
        <v>76.256344389555395</v>
      </c>
      <c r="P58" s="93">
        <f t="shared" ca="1" si="33"/>
        <v>89.372019354038301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127440</v>
      </c>
      <c r="N88" s="155">
        <f t="shared" ca="1" si="49"/>
        <v>117440</v>
      </c>
      <c r="O88" s="155">
        <f t="shared" ref="O88:O96" ca="1" si="50">IF(L88&gt;0,N88*100/L88,0)</f>
        <v>59.0032154340836</v>
      </c>
      <c r="P88" s="155">
        <f t="shared" ref="P88:P96" ca="1" si="51">IF(M88&gt;0,N88*100/M88,0)</f>
        <v>92.15317011927182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127440</v>
      </c>
      <c r="N90" s="93">
        <f t="shared" ca="1" si="52"/>
        <v>117440</v>
      </c>
      <c r="O90" s="93">
        <f t="shared" ca="1" si="50"/>
        <v>59.0032154340836</v>
      </c>
      <c r="P90" s="93">
        <f t="shared" ca="1" si="51"/>
        <v>92.15317011927182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127440</v>
      </c>
      <c r="N91" s="497">
        <f t="shared" ca="1" si="53"/>
        <v>117440</v>
      </c>
      <c r="O91" s="497">
        <f t="shared" ca="1" si="50"/>
        <v>59.0032154340836</v>
      </c>
      <c r="P91" s="497">
        <f t="shared" ca="1" si="51"/>
        <v>92.15317011927182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IFERROR(__xludf.DUMMYFUNCTION("IMPORTRANGE(""https://docs.google.com/spreadsheets/d/1MeEWN-I1oV_STSDYn1IFDPWt_1FKiwhDph83XaGc0o0/edit?usp=sharing"",""งบพรบ!AV60"")"),127440)</f>
        <v>127440</v>
      </c>
      <c r="N93" s="93">
        <f ca="1">IFERROR(__xludf.DUMMYFUNCTION("IMPORTRANGE(""https://docs.google.com/spreadsheets/d/1MeEWN-I1oV_STSDYn1IFDPWt_1FKiwhDph83XaGc0o0/edit?usp=sharing"",""งบพรบ!AX60"")"),117440)</f>
        <v>117440</v>
      </c>
      <c r="O93" s="93">
        <f t="shared" ca="1" si="50"/>
        <v>59.0032154340836</v>
      </c>
      <c r="P93" s="93">
        <f t="shared" ca="1" si="51"/>
        <v>92.15317011927182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31755</v>
      </c>
      <c r="N165" s="155">
        <f t="shared" ca="1" si="84"/>
        <v>30555</v>
      </c>
      <c r="O165" s="155">
        <f t="shared" ref="O165:O173" ca="1" si="85">IF(L165&gt;0,N165*100/L165,0)</f>
        <v>138.54001360235773</v>
      </c>
      <c r="P165" s="155">
        <f t="shared" ref="P165:P173" ca="1" si="86">IF(M165&gt;0,N165*100/M165,0)</f>
        <v>96.221067548417565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31755</v>
      </c>
      <c r="N167" s="93">
        <f t="shared" ca="1" si="87"/>
        <v>30555</v>
      </c>
      <c r="O167" s="93">
        <f t="shared" ca="1" si="85"/>
        <v>138.54001360235773</v>
      </c>
      <c r="P167" s="93">
        <f t="shared" ca="1" si="86"/>
        <v>96.221067548417565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31755</v>
      </c>
      <c r="N168" s="497">
        <f t="shared" ca="1" si="88"/>
        <v>30555</v>
      </c>
      <c r="O168" s="497">
        <f t="shared" ca="1" si="85"/>
        <v>138.54001360235773</v>
      </c>
      <c r="P168" s="497">
        <f t="shared" ca="1" si="86"/>
        <v>96.221067548417565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IFERROR(__xludf.DUMMYFUNCTION("IMPORTRANGE(""https://docs.google.com/spreadsheets/d/1MeEWN-I1oV_STSDYn1IFDPWt_1FKiwhDph83XaGc0o0/edit?usp=sharing"",""งบพรบ!CJ60"")"),31755)</f>
        <v>31755</v>
      </c>
      <c r="N170" s="93">
        <f ca="1">IFERROR(__xludf.DUMMYFUNCTION("IMPORTRANGE(""https://docs.google.com/spreadsheets/d/1MeEWN-I1oV_STSDYn1IFDPWt_1FKiwhDph83XaGc0o0/edit?usp=sharing"",""งบพรบ!CL60"")"),30555)</f>
        <v>30555</v>
      </c>
      <c r="O170" s="93">
        <f t="shared" ca="1" si="85"/>
        <v>138.54001360235773</v>
      </c>
      <c r="P170" s="93">
        <f t="shared" ca="1" si="86"/>
        <v>96.221067548417565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353500</v>
      </c>
      <c r="N181" s="155">
        <f t="shared" ca="1" si="92"/>
        <v>260230.88</v>
      </c>
      <c r="O181" s="155">
        <f t="shared" ref="O181:O189" ca="1" si="93">IF(L181&gt;0,N181*100/L181,0)</f>
        <v>57.899850928913118</v>
      </c>
      <c r="P181" s="155">
        <f t="shared" ref="P181:P189" ca="1" si="94">IF(M181&gt;0,N181*100/M181,0)</f>
        <v>73.615524752475253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353500</v>
      </c>
      <c r="N183" s="93">
        <f t="shared" ca="1" si="95"/>
        <v>260230.88</v>
      </c>
      <c r="O183" s="93">
        <f t="shared" ca="1" si="93"/>
        <v>57.899850928913118</v>
      </c>
      <c r="P183" s="93">
        <f t="shared" ca="1" si="94"/>
        <v>73.615524752475253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353500</v>
      </c>
      <c r="N184" s="497">
        <f t="shared" ca="1" si="96"/>
        <v>260230.88</v>
      </c>
      <c r="O184" s="497">
        <f t="shared" ca="1" si="93"/>
        <v>57.899850928913118</v>
      </c>
      <c r="P184" s="497">
        <f t="shared" ca="1" si="94"/>
        <v>73.615524752475253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IFERROR(__xludf.DUMMYFUNCTION("IMPORTRANGE(""https://docs.google.com/spreadsheets/d/1MeEWN-I1oV_STSDYn1IFDPWt_1FKiwhDph83XaGc0o0/edit?usp=sharing"",""งบพรบ!CT60"")"),353500)</f>
        <v>353500</v>
      </c>
      <c r="N186" s="93">
        <f ca="1">IFERROR(__xludf.DUMMYFUNCTION("IMPORTRANGE(""https://docs.google.com/spreadsheets/d/1MeEWN-I1oV_STSDYn1IFDPWt_1FKiwhDph83XaGc0o0/edit?usp=sharing"",""งบพรบ!CV60"")"),260230.88)</f>
        <v>260230.88</v>
      </c>
      <c r="O186" s="93">
        <f t="shared" ca="1" si="93"/>
        <v>57.899850928913118</v>
      </c>
      <c r="P186" s="93">
        <f t="shared" ca="1" si="94"/>
        <v>73.615524752475253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3200</v>
      </c>
      <c r="O191" s="155">
        <f ca="1">IF(L191&gt;0,N191*100/L191,0)</f>
        <v>53.333333333333336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44080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7530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44080</v>
      </c>
      <c r="O238" s="155">
        <f ca="1">IF(L238&gt;0,N238*100/L238,0)</f>
        <v>77.948717948717942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72">
        <v>7530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72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99.454545454545453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99.454545454545453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22000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99.454545454545453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IFERROR(__xludf.DUMMYFUNCTION("IMPORTRANGE(""https://docs.google.com/spreadsheets/d/1MeEWN-I1oV_STSDYn1IFDPWt_1FKiwhDph83XaGc0o0/edit?usp=sharing"",""งบพรบ!DD60"")"),22000)</f>
        <v>22000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99.454545454545453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233</v>
      </c>
      <c r="K327" s="445">
        <f ca="1">IF(I327&gt;0,J327*100/I327,0)</f>
        <v>116.5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185950</v>
      </c>
      <c r="N328" s="155">
        <f t="shared" ca="1" si="148"/>
        <v>167995</v>
      </c>
      <c r="O328" s="155">
        <f t="shared" ref="O328:O336" ca="1" si="149">IF(L328&gt;0,N328*100/L328,0)</f>
        <v>68.681520850367946</v>
      </c>
      <c r="P328" s="155">
        <f t="shared" ref="P328:P336" ca="1" si="150">IF(M328&gt;0,N328*100/M328,0)</f>
        <v>90.344178542618977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185950</v>
      </c>
      <c r="N330" s="93">
        <f t="shared" ca="1" si="151"/>
        <v>167995</v>
      </c>
      <c r="O330" s="93">
        <f t="shared" ca="1" si="149"/>
        <v>68.681520850367946</v>
      </c>
      <c r="P330" s="93">
        <f t="shared" ca="1" si="150"/>
        <v>90.344178542618977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185950</v>
      </c>
      <c r="N331" s="497">
        <f t="shared" ca="1" si="152"/>
        <v>167995</v>
      </c>
      <c r="O331" s="497">
        <f t="shared" ca="1" si="149"/>
        <v>68.681520850367946</v>
      </c>
      <c r="P331" s="497">
        <f t="shared" ca="1" si="150"/>
        <v>90.344178542618977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IFERROR(__xludf.DUMMYFUNCTION("IMPORTRANGE(""https://docs.google.com/spreadsheets/d/1MeEWN-I1oV_STSDYn1IFDPWt_1FKiwhDph83XaGc0o0/edit?usp=sharing"",""งบพรบ!ER60"")"),185950)</f>
        <v>185950</v>
      </c>
      <c r="N333" s="93">
        <f ca="1">IFERROR(__xludf.DUMMYFUNCTION("IMPORTRANGE(""https://docs.google.com/spreadsheets/d/1MeEWN-I1oV_STSDYn1IFDPWt_1FKiwhDph83XaGc0o0/edit?usp=sharing"",""งบพรบ!ET60"")"),167995)</f>
        <v>167995</v>
      </c>
      <c r="O333" s="93">
        <f t="shared" ca="1" si="149"/>
        <v>68.681520850367946</v>
      </c>
      <c r="P333" s="93">
        <f t="shared" ca="1" si="150"/>
        <v>90.344178542618977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IFERROR(__xludf.DUMMYFUNCTION("IMPORTRANGE(""https://docs.google.com/spreadsheets/d/1kVcqe37tkHyjCSG3S0O1AXqVkqjo8mSIZil3BcpIysc/edit?usp=sharing"",""ศูนย์!D60"")"),131)</f>
        <v>131</v>
      </c>
      <c r="K338" s="497">
        <f ca="1">IF(I338&gt;0,J338*100/I338,0)</f>
        <v>65.5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181140</v>
      </c>
      <c r="N345" s="155">
        <f t="shared" ca="1" si="154"/>
        <v>146860</v>
      </c>
      <c r="O345" s="155">
        <f t="shared" ref="O345:O353" ca="1" si="155">IF(L345&gt;0,N345*100/L345,0)</f>
        <v>64.156218601196983</v>
      </c>
      <c r="P345" s="155">
        <f t="shared" ref="P345:P353" ca="1" si="156">IF(M345&gt;0,N345*100/M345,0)</f>
        <v>81.075411284089654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181140</v>
      </c>
      <c r="N347" s="93">
        <f t="shared" ca="1" si="157"/>
        <v>146860</v>
      </c>
      <c r="O347" s="93">
        <f t="shared" ca="1" si="155"/>
        <v>64.156218601196983</v>
      </c>
      <c r="P347" s="93">
        <f t="shared" ca="1" si="156"/>
        <v>81.075411284089654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143340</v>
      </c>
      <c r="N348" s="497">
        <f t="shared" ca="1" si="158"/>
        <v>109060</v>
      </c>
      <c r="O348" s="497">
        <f t="shared" ca="1" si="155"/>
        <v>57.066610852388678</v>
      </c>
      <c r="P348" s="497">
        <f t="shared" ca="1" si="156"/>
        <v>76.084833263569138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IFERROR(__xludf.DUMMYFUNCTION("IMPORTRANGE(""https://docs.google.com/spreadsheets/d/1MeEWN-I1oV_STSDYn1IFDPWt_1FKiwhDph83XaGc0o0/edit?usp=sharing"",""งบพรบ!FB60"")"),143340)</f>
        <v>143340</v>
      </c>
      <c r="N350" s="93">
        <f ca="1">IFERROR(__xludf.DUMMYFUNCTION("IMPORTRANGE(""https://docs.google.com/spreadsheets/d/1MeEWN-I1oV_STSDYn1IFDPWt_1FKiwhDph83XaGc0o0/edit?usp=sharing"",""งบพรบ!FD60"")"),109060)</f>
        <v>109060</v>
      </c>
      <c r="O350" s="93">
        <f t="shared" ca="1" si="155"/>
        <v>57.066610852388678</v>
      </c>
      <c r="P350" s="93">
        <f t="shared" ca="1" si="156"/>
        <v>76.084833263569138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188830</v>
      </c>
      <c r="N414" s="549">
        <f t="shared" si="180"/>
        <v>109400</v>
      </c>
      <c r="O414" s="549">
        <f ca="1">IF(L414&gt;0,N414*100/L414,0)</f>
        <v>57.840752881463466</v>
      </c>
      <c r="P414" s="549">
        <f ca="1">IF(M414&gt;0,N414*100/M414,0)</f>
        <v>57.935709368214795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64150</v>
      </c>
      <c r="N419" s="155">
        <f t="shared" si="183"/>
        <v>61710</v>
      </c>
      <c r="O419" s="155">
        <f t="shared" ref="O419:O424" ca="1" si="184">IF(L419&gt;0,N419*100/L419,0)</f>
        <v>95.73378839590444</v>
      </c>
      <c r="P419" s="155">
        <f t="shared" ref="P419:P424" ca="1" si="185">IF(M419&gt;0,N419*100/M419,0)</f>
        <v>96.196414653156666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64150</v>
      </c>
      <c r="N421" s="93">
        <f t="shared" si="186"/>
        <v>61710</v>
      </c>
      <c r="O421" s="93">
        <f t="shared" ca="1" si="184"/>
        <v>95.73378839590444</v>
      </c>
      <c r="P421" s="93">
        <f t="shared" ca="1" si="185"/>
        <v>96.196414653156666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64150</v>
      </c>
      <c r="N422" s="497">
        <f t="shared" si="187"/>
        <v>61710</v>
      </c>
      <c r="O422" s="497">
        <f t="shared" ca="1" si="184"/>
        <v>95.73378839590444</v>
      </c>
      <c r="P422" s="497">
        <f t="shared" ca="1" si="185"/>
        <v>96.196414653156666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</f>
        <v>64150</v>
      </c>
      <c r="N424" s="93">
        <f>N425+N426+N427+N428</f>
        <v>61710</v>
      </c>
      <c r="O424" s="93">
        <f t="shared" ca="1" si="184"/>
        <v>95.73378839590444</v>
      </c>
      <c r="P424" s="93">
        <f t="shared" ca="1" si="185"/>
        <v>96.196414653156666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37410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44330</v>
      </c>
      <c r="O544" s="155">
        <f t="shared" ref="O544:O549" ca="1" si="236">IF(L544&gt;0,N544*100/L544,0)</f>
        <v>36.849542809642557</v>
      </c>
      <c r="P544" s="155">
        <f t="shared" ref="P544:P549" ca="1" si="237">IF(M544&gt;0,N544*100/M544,0)</f>
        <v>36.849542809642557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44330</v>
      </c>
      <c r="O546" s="93">
        <f t="shared" ca="1" si="236"/>
        <v>36.849542809642557</v>
      </c>
      <c r="P546" s="93">
        <f t="shared" ca="1" si="237"/>
        <v>36.849542809642557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44330</v>
      </c>
      <c r="O547" s="497">
        <f t="shared" ca="1" si="236"/>
        <v>36.849542809642557</v>
      </c>
      <c r="P547" s="497">
        <f t="shared" ca="1" si="237"/>
        <v>36.849542809642557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44330</v>
      </c>
      <c r="O549" s="93">
        <f t="shared" ca="1" si="236"/>
        <v>36.849542809642557</v>
      </c>
      <c r="P549" s="93">
        <f t="shared" ca="1" si="237"/>
        <v>36.849542809642557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44330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3360</v>
      </c>
      <c r="O685" s="195">
        <f t="shared" ref="O685:O688" ca="1" si="282">IF(L685&gt;0,N685*100/L685,0)</f>
        <v>76.712328767123282</v>
      </c>
      <c r="P685" s="195">
        <f t="shared" ref="P685:P688" ca="1" si="283">IF(M685&gt;0,N685*100/M685,0)</f>
        <v>76.712328767123282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3360</v>
      </c>
      <c r="O687" s="93">
        <f t="shared" ca="1" si="282"/>
        <v>76.712328767123282</v>
      </c>
      <c r="P687" s="93">
        <f t="shared" ca="1" si="283"/>
        <v>76.712328767123282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3360</v>
      </c>
      <c r="O688" s="497">
        <f t="shared" ca="1" si="282"/>
        <v>76.712328767123282</v>
      </c>
      <c r="P688" s="497">
        <f t="shared" ca="1" si="283"/>
        <v>76.712328767123282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3360</v>
      </c>
      <c r="O690" s="93">
        <f ca="1">IF(L690&gt;0,N690*100/L690,0)</f>
        <v>76.712328767123282</v>
      </c>
      <c r="P690" s="93">
        <f ca="1">IF(M690&gt;0,N690*100/M690,0)</f>
        <v>76.712328767123282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3360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15</v>
      </c>
      <c r="K721" s="195">
        <f t="shared" ca="1" si="290"/>
        <v>500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85.87</v>
      </c>
      <c r="K722" s="195">
        <f t="shared" ca="1" si="290"/>
        <v>214.67500000000001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7">
        <f t="shared" ca="1" si="291"/>
        <v>1100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7">
        <f t="shared" ref="K728:K729" ca="1" si="292">IF(I728&gt;0,J728*100/I728,0)</f>
        <v>185.05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IFERROR(__xludf.DUMMYFUNCTION("IMPORTRANGE(""https://docs.google.com/spreadsheets/d/19vJNZY_5yjcGF2XGBMNZRCAIB0Kwfpjp8YEOfu-bneM/edit?usp=sharing"",""งานกองทุน!F60"")"),442776.76)</f>
        <v>442776.76</v>
      </c>
      <c r="K821" s="497">
        <f t="shared" ref="K821:K828" ca="1" si="334">IF(I821&gt;0,J821*100/I821,0)</f>
        <v>14.982230997476075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IFERROR(__xludf.DUMMYFUNCTION("IMPORTRANGE(""https://docs.google.com/spreadsheets/d/19vJNZY_5yjcGF2XGBMNZRCAIB0Kwfpjp8YEOfu-bneM/edit?usp=sharing"",""งานกองทุน!E60"")"),23)</f>
        <v>23</v>
      </c>
      <c r="K822" s="497">
        <f t="shared" ca="1" si="334"/>
        <v>34.328358208955223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IFERROR(__xludf.DUMMYFUNCTION("IMPORTRANGE(""https://docs.google.com/spreadsheets/d/19vJNZY_5yjcGF2XGBMNZRCAIB0Kwfpjp8YEOfu-bneM/edit?usp=sharing"",""งานกองทุน!K60"")"),200746.35)</f>
        <v>200746.35</v>
      </c>
      <c r="K823" s="497">
        <f t="shared" ca="1" si="334"/>
        <v>39.364833577262473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IFERROR(__xludf.DUMMYFUNCTION("IMPORTRANGE(""https://docs.google.com/spreadsheets/d/19vJNZY_5yjcGF2XGBMNZRCAIB0Kwfpjp8YEOfu-bneM/edit?usp=sharing"",""งานกองทุน!P60"")"),196339.41)</f>
        <v>196339.41</v>
      </c>
      <c r="K825" s="497">
        <f t="shared" ca="1" si="334"/>
        <v>40.147712700190645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IFERROR(__xludf.DUMMYFUNCTION("IMPORTRANGE(""https://docs.google.com/spreadsheets/d/19vJNZY_5yjcGF2XGBMNZRCAIB0Kwfpjp8YEOfu-bneM/edit?usp=sharing"",""งานกองทุน!O60"")"),187)</f>
        <v>187</v>
      </c>
      <c r="K826" s="497">
        <f t="shared" ca="1" si="334"/>
        <v>72.200772200772207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IFERROR(__xludf.DUMMYFUNCTION("IMPORTRANGE(""https://docs.google.com/spreadsheets/d/19vJNZY_5yjcGF2XGBMNZRCAIB0Kwfpjp8YEOfu-bneM/edit?usp=sharing"",""งานกองทุน!U60"")"),270000)</f>
        <v>270000</v>
      </c>
      <c r="K827" s="497">
        <f t="shared" ca="1" si="334"/>
        <v>8.8235294117647065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IFERROR(__xludf.DUMMYFUNCTION("IMPORTRANGE(""https://docs.google.com/spreadsheets/d/19vJNZY_5yjcGF2XGBMNZRCAIB0Kwfpjp8YEOfu-bneM/edit?usp=sharing"",""งานกองทุน!T60"")"),6)</f>
        <v>6</v>
      </c>
      <c r="K828" s="502">
        <f t="shared" ca="1" si="334"/>
        <v>6.0606060606060606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2023-05-23T09:35:58Z</dcterms:modified>
</cp:coreProperties>
</file>